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345" yWindow="-165" windowWidth="20610" windowHeight="11640" tabRatio="738" activeTab="2"/>
  </bookViews>
  <sheets>
    <sheet name="Research Notes" sheetId="54" r:id="rId1"/>
    <sheet name="NLS Service Area Charts" sheetId="56" r:id="rId2"/>
    <sheet name="NLS Service Total" sheetId="55" r:id="rId3"/>
    <sheet name="MA" sheetId="1" r:id="rId4"/>
    <sheet name="1" sheetId="9" r:id="rId5"/>
    <sheet name="2" sheetId="10" r:id="rId6"/>
    <sheet name="3" sheetId="11" r:id="rId7"/>
    <sheet name="4" sheetId="58" r:id="rId8"/>
    <sheet name="5" sheetId="59" r:id="rId9"/>
    <sheet name="6" sheetId="60" r:id="rId10"/>
    <sheet name="7" sheetId="61" r:id="rId11"/>
    <sheet name="8" sheetId="57" r:id="rId12"/>
    <sheet name="9" sheetId="62" r:id="rId13"/>
    <sheet name="10" sheetId="18" r:id="rId14"/>
  </sheets>
  <definedNames>
    <definedName name="_xlnm.Print_Area" localSheetId="1">'NLS Service Area Charts'!$A$1:$G$100</definedName>
    <definedName name="_xlnm.Print_Area" localSheetId="2">'NLS Service Total'!$A$1:$G$150</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48" i="56" l="1"/>
  <c r="B47" i="56"/>
  <c r="C47" i="56"/>
  <c r="C40" i="56"/>
  <c r="B39" i="56"/>
  <c r="C39" i="56"/>
  <c r="B33" i="56"/>
  <c r="C32" i="56"/>
  <c r="C31" i="56"/>
  <c r="C30" i="56"/>
  <c r="C29" i="56"/>
  <c r="C28" i="56"/>
  <c r="C27" i="56"/>
  <c r="C26" i="56"/>
  <c r="B20" i="56"/>
  <c r="C19" i="56"/>
  <c r="C18" i="56"/>
  <c r="C17" i="56"/>
  <c r="C16" i="56"/>
  <c r="C15" i="56"/>
  <c r="C14" i="56"/>
  <c r="C13" i="56"/>
  <c r="B7" i="56"/>
  <c r="C6" i="56"/>
  <c r="C5" i="56"/>
  <c r="B61" i="56"/>
  <c r="B54" i="56"/>
  <c r="B55" i="56"/>
  <c r="B56" i="56"/>
  <c r="B57" i="56"/>
  <c r="B58" i="56"/>
  <c r="B59" i="56"/>
  <c r="B60" i="56"/>
  <c r="B63" i="56"/>
  <c r="B64" i="56"/>
  <c r="B66" i="56"/>
  <c r="B68" i="56"/>
  <c r="B71" i="56"/>
  <c r="B86" i="56"/>
  <c r="B87" i="56"/>
  <c r="C61" i="56"/>
  <c r="C62" i="56"/>
  <c r="C63" i="56"/>
  <c r="C64" i="56"/>
  <c r="C65" i="56"/>
  <c r="C66" i="56"/>
  <c r="C67" i="56"/>
  <c r="C68" i="56"/>
  <c r="C69" i="56"/>
  <c r="C70" i="56"/>
  <c r="C71" i="56"/>
  <c r="C72" i="56"/>
  <c r="C73" i="56"/>
  <c r="C74" i="56"/>
  <c r="C75" i="56"/>
  <c r="C76" i="56"/>
  <c r="C77" i="56"/>
  <c r="C78" i="56"/>
  <c r="C79" i="56"/>
  <c r="C80" i="56"/>
  <c r="C81" i="56"/>
  <c r="C82" i="56"/>
  <c r="C83" i="56"/>
  <c r="C84" i="56"/>
  <c r="C85" i="56"/>
  <c r="C86" i="56"/>
  <c r="C55" i="56"/>
  <c r="C56" i="56"/>
  <c r="C57" i="56"/>
  <c r="C58" i="56"/>
  <c r="C59" i="56"/>
  <c r="C60" i="56"/>
  <c r="C54" i="56"/>
  <c r="F54" i="56"/>
  <c r="F55" i="56"/>
  <c r="F56" i="56"/>
  <c r="F57" i="56"/>
  <c r="F58" i="56"/>
  <c r="F59" i="56"/>
  <c r="F60" i="56"/>
  <c r="F61" i="56"/>
  <c r="F62" i="56"/>
  <c r="F63" i="56"/>
  <c r="F64" i="56"/>
  <c r="F65" i="56"/>
  <c r="F68" i="56"/>
  <c r="F72" i="56"/>
  <c r="F74" i="56"/>
  <c r="F81" i="56"/>
  <c r="F82" i="56"/>
  <c r="G81" i="56"/>
  <c r="G80" i="56"/>
  <c r="G79" i="56"/>
  <c r="G78" i="56"/>
  <c r="G77" i="56"/>
  <c r="G76" i="56"/>
  <c r="G75" i="56"/>
  <c r="G74" i="56"/>
  <c r="G73" i="56"/>
  <c r="G72" i="56"/>
  <c r="G71" i="56"/>
  <c r="G70" i="56"/>
  <c r="G69" i="56"/>
  <c r="G68" i="56"/>
  <c r="G67" i="56"/>
  <c r="G66" i="56"/>
  <c r="G65" i="56"/>
  <c r="G64" i="56"/>
  <c r="G63" i="56"/>
  <c r="G62" i="56"/>
  <c r="G61" i="56"/>
  <c r="G60" i="56"/>
  <c r="G59" i="56"/>
  <c r="G58" i="56"/>
  <c r="G57" i="56"/>
  <c r="G56" i="56"/>
  <c r="G55" i="56"/>
  <c r="G54" i="56"/>
  <c r="G43" i="55"/>
  <c r="G44" i="55"/>
  <c r="G45" i="55"/>
  <c r="G46" i="55"/>
  <c r="G47" i="55"/>
  <c r="G48" i="55"/>
  <c r="G49" i="55"/>
  <c r="G50" i="55"/>
  <c r="G51" i="55"/>
  <c r="G52" i="55"/>
  <c r="G53" i="55"/>
  <c r="G54" i="55"/>
  <c r="G55" i="55"/>
  <c r="G56" i="55"/>
  <c r="G57" i="55"/>
  <c r="G58" i="55"/>
  <c r="G59" i="55"/>
  <c r="G60" i="55"/>
  <c r="G61" i="55"/>
  <c r="G62" i="55"/>
  <c r="G63" i="55"/>
  <c r="G64" i="55"/>
  <c r="G65" i="55"/>
  <c r="G66" i="55"/>
  <c r="G67" i="55"/>
  <c r="G68" i="55"/>
  <c r="G69" i="55"/>
  <c r="G70" i="55"/>
  <c r="G71" i="55"/>
  <c r="G72" i="55"/>
  <c r="G73" i="55"/>
  <c r="G74" i="55"/>
  <c r="G42" i="55"/>
  <c r="F42" i="55"/>
  <c r="F43" i="55"/>
  <c r="F44" i="55"/>
  <c r="F45" i="55"/>
  <c r="F46" i="55"/>
  <c r="F47" i="55"/>
  <c r="F48" i="55"/>
  <c r="F49" i="55"/>
  <c r="F50" i="55"/>
  <c r="F51" i="55"/>
  <c r="F52" i="55"/>
  <c r="F53" i="55"/>
  <c r="F54" i="55"/>
  <c r="F74" i="55"/>
  <c r="F75" i="55"/>
  <c r="F101" i="55"/>
  <c r="G95" i="55"/>
  <c r="G96" i="55"/>
  <c r="G97" i="55"/>
  <c r="G98" i="55"/>
  <c r="G99" i="55"/>
  <c r="G100" i="55"/>
  <c r="G80" i="55"/>
  <c r="G81" i="55"/>
  <c r="G82" i="55"/>
  <c r="G83" i="55"/>
  <c r="G84" i="55"/>
  <c r="G85" i="55"/>
  <c r="G86" i="55"/>
  <c r="G87" i="55"/>
  <c r="G88" i="55"/>
  <c r="G89" i="55"/>
  <c r="G90" i="55"/>
  <c r="G91" i="55"/>
  <c r="G92" i="55"/>
  <c r="G93" i="55"/>
  <c r="G94" i="55"/>
  <c r="G79" i="55"/>
  <c r="F79" i="55"/>
  <c r="F80" i="55"/>
  <c r="F81" i="55"/>
  <c r="F82" i="55"/>
  <c r="F83" i="55"/>
  <c r="F84" i="55"/>
  <c r="F86" i="55"/>
  <c r="F87" i="55"/>
  <c r="F100" i="55"/>
  <c r="C79" i="55"/>
  <c r="C80" i="55"/>
  <c r="C81" i="55"/>
  <c r="C82" i="55"/>
  <c r="C83" i="55"/>
  <c r="C84" i="55"/>
  <c r="C85" i="55"/>
  <c r="C86" i="55"/>
  <c r="C87" i="55"/>
  <c r="C88" i="55"/>
  <c r="C89" i="55"/>
  <c r="C90" i="55"/>
  <c r="C91" i="55"/>
  <c r="C92" i="55"/>
  <c r="C93" i="55"/>
  <c r="C94" i="55"/>
  <c r="C95" i="55"/>
  <c r="C96" i="55"/>
  <c r="C97" i="55"/>
  <c r="C98" i="55"/>
  <c r="C99" i="55"/>
  <c r="C100" i="55"/>
  <c r="C101" i="55"/>
  <c r="C102" i="55"/>
  <c r="C103" i="55"/>
  <c r="C104" i="55"/>
  <c r="C105" i="55"/>
  <c r="C106" i="55"/>
  <c r="C107" i="55"/>
  <c r="C108" i="55"/>
  <c r="C109" i="55"/>
  <c r="C78" i="55"/>
  <c r="C77" i="55"/>
  <c r="B77" i="55"/>
  <c r="B78" i="55"/>
  <c r="B79" i="55"/>
  <c r="B80" i="55"/>
  <c r="B81" i="55"/>
  <c r="B82" i="55"/>
  <c r="B83" i="55"/>
  <c r="B84" i="55"/>
  <c r="B86" i="55"/>
  <c r="B87" i="55"/>
  <c r="B89" i="55"/>
  <c r="B91" i="55"/>
  <c r="B94" i="55"/>
  <c r="B109" i="55"/>
  <c r="B110" i="55"/>
  <c r="C141" i="55"/>
  <c r="C140" i="55"/>
  <c r="C139" i="55"/>
  <c r="C138" i="55"/>
  <c r="C137" i="55"/>
  <c r="C136" i="55"/>
  <c r="C135" i="55"/>
  <c r="C134" i="55"/>
  <c r="C133" i="55"/>
  <c r="C132" i="55"/>
  <c r="C131" i="55"/>
  <c r="C130" i="55"/>
  <c r="C129" i="55"/>
  <c r="C128" i="55"/>
  <c r="C127" i="55"/>
  <c r="C126" i="55"/>
  <c r="C125" i="55"/>
  <c r="C124" i="55"/>
  <c r="C123" i="55"/>
  <c r="C122" i="55"/>
  <c r="C121" i="55"/>
  <c r="C120" i="55"/>
  <c r="C119" i="55"/>
  <c r="C118" i="55"/>
  <c r="C117" i="55"/>
  <c r="C116" i="55"/>
  <c r="C115" i="55"/>
  <c r="C114" i="55"/>
  <c r="B142" i="55"/>
  <c r="B141" i="55"/>
  <c r="B134" i="55"/>
  <c r="B132" i="55"/>
  <c r="B128" i="55"/>
  <c r="B125" i="55"/>
  <c r="B124" i="55"/>
  <c r="B123" i="55"/>
  <c r="B122" i="55"/>
  <c r="B121" i="55"/>
  <c r="B120" i="55"/>
  <c r="B119" i="55"/>
  <c r="B118" i="55"/>
  <c r="B117" i="55"/>
  <c r="B116" i="55"/>
  <c r="B115" i="55"/>
  <c r="B114" i="55"/>
  <c r="B103" i="62"/>
  <c r="C102" i="62"/>
  <c r="C101" i="62"/>
  <c r="C100" i="62"/>
  <c r="C99" i="62"/>
  <c r="C98" i="62"/>
  <c r="C97" i="62"/>
  <c r="C96" i="62"/>
  <c r="C95" i="62"/>
  <c r="C94" i="62"/>
  <c r="C93" i="62"/>
  <c r="C92" i="62"/>
  <c r="B88" i="62"/>
  <c r="C87" i="62"/>
  <c r="C86" i="62"/>
  <c r="C85" i="62"/>
  <c r="C84" i="62"/>
  <c r="C83" i="62"/>
  <c r="C82" i="62"/>
  <c r="C81" i="62"/>
  <c r="C80" i="62"/>
  <c r="C79" i="62"/>
  <c r="C78" i="62"/>
  <c r="C77" i="62"/>
  <c r="B73" i="62"/>
  <c r="C72" i="62"/>
  <c r="C71" i="62"/>
  <c r="C70" i="62"/>
  <c r="C69" i="62"/>
  <c r="F68" i="62"/>
  <c r="C68" i="62"/>
  <c r="G67" i="62"/>
  <c r="C67" i="62"/>
  <c r="G66" i="62"/>
  <c r="C66" i="62"/>
  <c r="G65" i="62"/>
  <c r="G64" i="62"/>
  <c r="G63" i="62"/>
  <c r="G62" i="62"/>
  <c r="B62" i="62"/>
  <c r="G61" i="62"/>
  <c r="C61" i="62"/>
  <c r="G60" i="62"/>
  <c r="C60" i="62"/>
  <c r="G59" i="62"/>
  <c r="C59" i="62"/>
  <c r="G58" i="62"/>
  <c r="C58" i="62"/>
  <c r="G57" i="62"/>
  <c r="C57" i="62"/>
  <c r="C56" i="62"/>
  <c r="C55" i="62"/>
  <c r="F52" i="62"/>
  <c r="G51" i="62"/>
  <c r="B49" i="62"/>
  <c r="B50" i="62"/>
  <c r="B51" i="62"/>
  <c r="G50" i="62"/>
  <c r="C50" i="62"/>
  <c r="G49" i="62"/>
  <c r="C49" i="62"/>
  <c r="G48" i="62"/>
  <c r="G47" i="62"/>
  <c r="G46" i="62"/>
  <c r="G45" i="62"/>
  <c r="G44" i="62"/>
  <c r="G43" i="62"/>
  <c r="G42" i="62"/>
  <c r="G41" i="62"/>
  <c r="F35" i="62"/>
  <c r="F36" i="62"/>
  <c r="F37" i="62"/>
  <c r="G36" i="62"/>
  <c r="G35" i="62"/>
  <c r="B33" i="62"/>
  <c r="C32" i="62"/>
  <c r="F31" i="62"/>
  <c r="C31" i="62"/>
  <c r="G30" i="62"/>
  <c r="C30" i="62"/>
  <c r="G29" i="62"/>
  <c r="C29" i="62"/>
  <c r="G28" i="62"/>
  <c r="C28" i="62"/>
  <c r="G27" i="62"/>
  <c r="C27" i="62"/>
  <c r="G26" i="62"/>
  <c r="C26" i="62"/>
  <c r="G25" i="62"/>
  <c r="B21" i="62"/>
  <c r="F20" i="62"/>
  <c r="C20" i="62"/>
  <c r="G19" i="62"/>
  <c r="C19" i="62"/>
  <c r="G18" i="62"/>
  <c r="C18" i="62"/>
  <c r="G17" i="62"/>
  <c r="C17" i="62"/>
  <c r="G16" i="62"/>
  <c r="C16" i="62"/>
  <c r="G15" i="62"/>
  <c r="C15" i="62"/>
  <c r="G14" i="62"/>
  <c r="C14" i="62"/>
  <c r="F9" i="62"/>
  <c r="B9" i="62"/>
  <c r="G8" i="62"/>
  <c r="C8" i="62"/>
  <c r="G7" i="62"/>
  <c r="C7" i="62"/>
  <c r="B103" i="57"/>
  <c r="C102" i="57"/>
  <c r="C101" i="57"/>
  <c r="C100" i="57"/>
  <c r="C99" i="57"/>
  <c r="C98" i="57"/>
  <c r="C97" i="57"/>
  <c r="C96" i="57"/>
  <c r="C95" i="57"/>
  <c r="C94" i="57"/>
  <c r="C93" i="57"/>
  <c r="C92" i="57"/>
  <c r="B88" i="57"/>
  <c r="C87" i="57"/>
  <c r="C86" i="57"/>
  <c r="C85" i="57"/>
  <c r="C84" i="57"/>
  <c r="C83" i="57"/>
  <c r="C82" i="57"/>
  <c r="C81" i="57"/>
  <c r="C80" i="57"/>
  <c r="C79" i="57"/>
  <c r="C78" i="57"/>
  <c r="C77" i="57"/>
  <c r="B73" i="57"/>
  <c r="C72" i="57"/>
  <c r="C71" i="57"/>
  <c r="C70" i="57"/>
  <c r="C69" i="57"/>
  <c r="C68" i="57"/>
  <c r="C67" i="57"/>
  <c r="C66" i="57"/>
  <c r="F63" i="57"/>
  <c r="G62" i="57"/>
  <c r="B62" i="57"/>
  <c r="G61" i="57"/>
  <c r="C61" i="57"/>
  <c r="G60" i="57"/>
  <c r="C60" i="57"/>
  <c r="G59" i="57"/>
  <c r="C59" i="57"/>
  <c r="G58" i="57"/>
  <c r="C58" i="57"/>
  <c r="G57" i="57"/>
  <c r="C57" i="57"/>
  <c r="C56" i="57"/>
  <c r="C55" i="57"/>
  <c r="F52" i="57"/>
  <c r="G51" i="57"/>
  <c r="B49" i="57"/>
  <c r="B50" i="57"/>
  <c r="B51" i="57"/>
  <c r="G50" i="57"/>
  <c r="C50" i="57"/>
  <c r="G49" i="57"/>
  <c r="C49" i="57"/>
  <c r="G48" i="57"/>
  <c r="G47" i="57"/>
  <c r="G46" i="57"/>
  <c r="G45" i="57"/>
  <c r="G44" i="57"/>
  <c r="G43" i="57"/>
  <c r="G42" i="57"/>
  <c r="G41" i="57"/>
  <c r="F35" i="57"/>
  <c r="F36" i="57"/>
  <c r="F37" i="57"/>
  <c r="G36" i="57"/>
  <c r="G35" i="57"/>
  <c r="B33" i="57"/>
  <c r="C32" i="57"/>
  <c r="F31" i="57"/>
  <c r="C31" i="57"/>
  <c r="G30" i="57"/>
  <c r="C30" i="57"/>
  <c r="G29" i="57"/>
  <c r="C29" i="57"/>
  <c r="G28" i="57"/>
  <c r="C28" i="57"/>
  <c r="G27" i="57"/>
  <c r="C27" i="57"/>
  <c r="G26" i="57"/>
  <c r="C26" i="57"/>
  <c r="G25" i="57"/>
  <c r="B21" i="57"/>
  <c r="F20" i="57"/>
  <c r="C20" i="57"/>
  <c r="G19" i="57"/>
  <c r="C19" i="57"/>
  <c r="G18" i="57"/>
  <c r="C18" i="57"/>
  <c r="G17" i="57"/>
  <c r="C17" i="57"/>
  <c r="G16" i="57"/>
  <c r="C16" i="57"/>
  <c r="G15" i="57"/>
  <c r="C15" i="57"/>
  <c r="G14" i="57"/>
  <c r="C14" i="57"/>
  <c r="F9" i="57"/>
  <c r="B9" i="57"/>
  <c r="G8" i="57"/>
  <c r="C8" i="57"/>
  <c r="G7" i="57"/>
  <c r="C7" i="57"/>
  <c r="B103" i="61"/>
  <c r="C102" i="61"/>
  <c r="C101" i="61"/>
  <c r="C100" i="61"/>
  <c r="C99" i="61"/>
  <c r="C98" i="61"/>
  <c r="C97" i="61"/>
  <c r="C96" i="61"/>
  <c r="C95" i="61"/>
  <c r="C94" i="61"/>
  <c r="C93" i="61"/>
  <c r="C92" i="61"/>
  <c r="B88" i="61"/>
  <c r="C87" i="61"/>
  <c r="C86" i="61"/>
  <c r="C85" i="61"/>
  <c r="C84" i="61"/>
  <c r="C83" i="61"/>
  <c r="C82" i="61"/>
  <c r="C81" i="61"/>
  <c r="C80" i="61"/>
  <c r="C79" i="61"/>
  <c r="C78" i="61"/>
  <c r="C77" i="61"/>
  <c r="B73" i="61"/>
  <c r="C72" i="61"/>
  <c r="C71" i="61"/>
  <c r="C70" i="61"/>
  <c r="C69" i="61"/>
  <c r="C68" i="61"/>
  <c r="C67" i="61"/>
  <c r="C66" i="61"/>
  <c r="F64" i="61"/>
  <c r="G63" i="61"/>
  <c r="G62" i="61"/>
  <c r="B62" i="61"/>
  <c r="G61" i="61"/>
  <c r="C61" i="61"/>
  <c r="G60" i="61"/>
  <c r="C60" i="61"/>
  <c r="G59" i="61"/>
  <c r="C59" i="61"/>
  <c r="G58" i="61"/>
  <c r="C58" i="61"/>
  <c r="G57" i="61"/>
  <c r="C57" i="61"/>
  <c r="C56" i="61"/>
  <c r="C55" i="61"/>
  <c r="F52" i="61"/>
  <c r="G51" i="61"/>
  <c r="B49" i="61"/>
  <c r="B50" i="61"/>
  <c r="B51" i="61"/>
  <c r="G50" i="61"/>
  <c r="C50" i="61"/>
  <c r="G49" i="61"/>
  <c r="C49" i="61"/>
  <c r="G48" i="61"/>
  <c r="G47" i="61"/>
  <c r="G46" i="61"/>
  <c r="G45" i="61"/>
  <c r="G44" i="61"/>
  <c r="G43" i="61"/>
  <c r="G42" i="61"/>
  <c r="G41" i="61"/>
  <c r="F35" i="61"/>
  <c r="F36" i="61"/>
  <c r="F37" i="61"/>
  <c r="G36" i="61"/>
  <c r="G35" i="61"/>
  <c r="B33" i="61"/>
  <c r="C32" i="61"/>
  <c r="F31" i="61"/>
  <c r="C31" i="61"/>
  <c r="G30" i="61"/>
  <c r="C30" i="61"/>
  <c r="G29" i="61"/>
  <c r="C29" i="61"/>
  <c r="G28" i="61"/>
  <c r="C28" i="61"/>
  <c r="G27" i="61"/>
  <c r="C27" i="61"/>
  <c r="G26" i="61"/>
  <c r="C26" i="61"/>
  <c r="G25" i="61"/>
  <c r="B21" i="61"/>
  <c r="F20" i="61"/>
  <c r="C20" i="61"/>
  <c r="G19" i="61"/>
  <c r="C19" i="61"/>
  <c r="G18" i="61"/>
  <c r="C18" i="61"/>
  <c r="G17" i="61"/>
  <c r="C17" i="61"/>
  <c r="G16" i="61"/>
  <c r="C16" i="61"/>
  <c r="G15" i="61"/>
  <c r="C15" i="61"/>
  <c r="G14" i="61"/>
  <c r="C14" i="61"/>
  <c r="F9" i="61"/>
  <c r="B9" i="61"/>
  <c r="G8" i="61"/>
  <c r="C8" i="61"/>
  <c r="G7" i="61"/>
  <c r="C7" i="61"/>
  <c r="B99" i="60"/>
  <c r="C98" i="60"/>
  <c r="C97" i="60"/>
  <c r="C96" i="60"/>
  <c r="C95" i="60"/>
  <c r="C94" i="60"/>
  <c r="C93" i="60"/>
  <c r="C92" i="60"/>
  <c r="B88" i="60"/>
  <c r="C87" i="60"/>
  <c r="C86" i="60"/>
  <c r="C85" i="60"/>
  <c r="C84" i="60"/>
  <c r="C83" i="60"/>
  <c r="C82" i="60"/>
  <c r="C81" i="60"/>
  <c r="C80" i="60"/>
  <c r="C79" i="60"/>
  <c r="C78" i="60"/>
  <c r="C77" i="60"/>
  <c r="B73" i="60"/>
  <c r="C72" i="60"/>
  <c r="C71" i="60"/>
  <c r="C70" i="60"/>
  <c r="C69" i="60"/>
  <c r="C68" i="60"/>
  <c r="C67" i="60"/>
  <c r="C66" i="60"/>
  <c r="B62" i="60"/>
  <c r="C61" i="60"/>
  <c r="C60" i="60"/>
  <c r="C59" i="60"/>
  <c r="C58" i="60"/>
  <c r="C57" i="60"/>
  <c r="C56" i="60"/>
  <c r="C55" i="60"/>
  <c r="F54" i="60"/>
  <c r="G53" i="60"/>
  <c r="G52" i="60"/>
  <c r="G51" i="60"/>
  <c r="B49" i="60"/>
  <c r="B50" i="60"/>
  <c r="B51" i="60"/>
  <c r="C50" i="60"/>
  <c r="C49" i="60"/>
  <c r="F46" i="60"/>
  <c r="G45" i="60"/>
  <c r="G44" i="60"/>
  <c r="G43" i="60"/>
  <c r="G42" i="60"/>
  <c r="G41" i="60"/>
  <c r="F35" i="60"/>
  <c r="F36" i="60"/>
  <c r="F37" i="60"/>
  <c r="G36" i="60"/>
  <c r="G35" i="60"/>
  <c r="B33" i="60"/>
  <c r="C32" i="60"/>
  <c r="F31" i="60"/>
  <c r="C31" i="60"/>
  <c r="G30" i="60"/>
  <c r="C30" i="60"/>
  <c r="G29" i="60"/>
  <c r="C29" i="60"/>
  <c r="G28" i="60"/>
  <c r="C28" i="60"/>
  <c r="G27" i="60"/>
  <c r="C27" i="60"/>
  <c r="G26" i="60"/>
  <c r="C26" i="60"/>
  <c r="G25" i="60"/>
  <c r="B21" i="60"/>
  <c r="F20" i="60"/>
  <c r="C20" i="60"/>
  <c r="G19" i="60"/>
  <c r="C19" i="60"/>
  <c r="G18" i="60"/>
  <c r="C18" i="60"/>
  <c r="G17" i="60"/>
  <c r="C17" i="60"/>
  <c r="G16" i="60"/>
  <c r="C16" i="60"/>
  <c r="G15" i="60"/>
  <c r="C15" i="60"/>
  <c r="G14" i="60"/>
  <c r="C14" i="60"/>
  <c r="F9" i="60"/>
  <c r="B9" i="60"/>
  <c r="G8" i="60"/>
  <c r="C8" i="60"/>
  <c r="G7" i="60"/>
  <c r="C7" i="60"/>
  <c r="B101" i="59"/>
  <c r="C100" i="59"/>
  <c r="C99" i="59"/>
  <c r="C98" i="59"/>
  <c r="C97" i="59"/>
  <c r="C96" i="59"/>
  <c r="C95" i="59"/>
  <c r="C94" i="59"/>
  <c r="C93" i="59"/>
  <c r="C92" i="59"/>
  <c r="B88" i="59"/>
  <c r="C87" i="59"/>
  <c r="C86" i="59"/>
  <c r="C85" i="59"/>
  <c r="C84" i="59"/>
  <c r="C83" i="59"/>
  <c r="C82" i="59"/>
  <c r="C81" i="59"/>
  <c r="C80" i="59"/>
  <c r="C79" i="59"/>
  <c r="C78" i="59"/>
  <c r="C77" i="59"/>
  <c r="B73" i="59"/>
  <c r="C72" i="59"/>
  <c r="C71" i="59"/>
  <c r="C70" i="59"/>
  <c r="C69" i="59"/>
  <c r="C68" i="59"/>
  <c r="C67" i="59"/>
  <c r="C66" i="59"/>
  <c r="B62" i="59"/>
  <c r="C61" i="59"/>
  <c r="C60" i="59"/>
  <c r="C59" i="59"/>
  <c r="C58" i="59"/>
  <c r="F57" i="59"/>
  <c r="C57" i="59"/>
  <c r="G56" i="59"/>
  <c r="C56" i="59"/>
  <c r="G55" i="59"/>
  <c r="C55" i="59"/>
  <c r="B49" i="59"/>
  <c r="B50" i="59"/>
  <c r="B51" i="59"/>
  <c r="F50" i="59"/>
  <c r="C50" i="59"/>
  <c r="G49" i="59"/>
  <c r="C49" i="59"/>
  <c r="G48" i="59"/>
  <c r="G47" i="59"/>
  <c r="G46" i="59"/>
  <c r="G45" i="59"/>
  <c r="G44" i="59"/>
  <c r="G43" i="59"/>
  <c r="G42" i="59"/>
  <c r="G41" i="59"/>
  <c r="F35" i="59"/>
  <c r="F36" i="59"/>
  <c r="F37" i="59"/>
  <c r="G36" i="59"/>
  <c r="G35" i="59"/>
  <c r="B33" i="59"/>
  <c r="C32" i="59"/>
  <c r="F31" i="59"/>
  <c r="C31" i="59"/>
  <c r="G30" i="59"/>
  <c r="C30" i="59"/>
  <c r="G29" i="59"/>
  <c r="C29" i="59"/>
  <c r="G28" i="59"/>
  <c r="C28" i="59"/>
  <c r="G27" i="59"/>
  <c r="C27" i="59"/>
  <c r="G26" i="59"/>
  <c r="C26" i="59"/>
  <c r="G25" i="59"/>
  <c r="B21" i="59"/>
  <c r="F20" i="59"/>
  <c r="C20" i="59"/>
  <c r="G19" i="59"/>
  <c r="C19" i="59"/>
  <c r="G18" i="59"/>
  <c r="C18" i="59"/>
  <c r="G17" i="59"/>
  <c r="C17" i="59"/>
  <c r="G16" i="59"/>
  <c r="C16" i="59"/>
  <c r="G15" i="59"/>
  <c r="C15" i="59"/>
  <c r="G14" i="59"/>
  <c r="C14" i="59"/>
  <c r="F9" i="59"/>
  <c r="B9" i="59"/>
  <c r="G8" i="59"/>
  <c r="C8" i="59"/>
  <c r="G7" i="59"/>
  <c r="C7" i="59"/>
  <c r="B103" i="58"/>
  <c r="C102" i="58"/>
  <c r="C101" i="58"/>
  <c r="C100" i="58"/>
  <c r="C99" i="58"/>
  <c r="C98" i="58"/>
  <c r="C97" i="58"/>
  <c r="C96" i="58"/>
  <c r="C95" i="58"/>
  <c r="C94" i="58"/>
  <c r="C93" i="58"/>
  <c r="C92" i="58"/>
  <c r="B88" i="58"/>
  <c r="C87" i="58"/>
  <c r="C86" i="58"/>
  <c r="C85" i="58"/>
  <c r="C84" i="58"/>
  <c r="C83" i="58"/>
  <c r="C82" i="58"/>
  <c r="C81" i="58"/>
  <c r="C80" i="58"/>
  <c r="C79" i="58"/>
  <c r="C78" i="58"/>
  <c r="C77" i="58"/>
  <c r="B73" i="58"/>
  <c r="C72" i="58"/>
  <c r="C71" i="58"/>
  <c r="C70" i="58"/>
  <c r="C69" i="58"/>
  <c r="C68" i="58"/>
  <c r="C67" i="58"/>
  <c r="F66" i="58"/>
  <c r="C66" i="58"/>
  <c r="G65" i="58"/>
  <c r="G64" i="58"/>
  <c r="G63" i="58"/>
  <c r="G62" i="58"/>
  <c r="B62" i="58"/>
  <c r="G61" i="58"/>
  <c r="C61" i="58"/>
  <c r="G60" i="58"/>
  <c r="C60" i="58"/>
  <c r="G59" i="58"/>
  <c r="C59" i="58"/>
  <c r="G58" i="58"/>
  <c r="C58" i="58"/>
  <c r="G57" i="58"/>
  <c r="C57" i="58"/>
  <c r="C56" i="58"/>
  <c r="C55" i="58"/>
  <c r="F52" i="58"/>
  <c r="G51" i="58"/>
  <c r="B49" i="58"/>
  <c r="B50" i="58"/>
  <c r="B51" i="58"/>
  <c r="G50" i="58"/>
  <c r="C50" i="58"/>
  <c r="G49" i="58"/>
  <c r="C49" i="58"/>
  <c r="G48" i="58"/>
  <c r="G47" i="58"/>
  <c r="G46" i="58"/>
  <c r="G45" i="58"/>
  <c r="G44" i="58"/>
  <c r="G43" i="58"/>
  <c r="G42" i="58"/>
  <c r="G41" i="58"/>
  <c r="F35" i="58"/>
  <c r="F36" i="58"/>
  <c r="F37" i="58"/>
  <c r="G36" i="58"/>
  <c r="G35" i="58"/>
  <c r="B33" i="58"/>
  <c r="C32" i="58"/>
  <c r="F31" i="58"/>
  <c r="C31" i="58"/>
  <c r="G30" i="58"/>
  <c r="C30" i="58"/>
  <c r="G29" i="58"/>
  <c r="C29" i="58"/>
  <c r="G28" i="58"/>
  <c r="C28" i="58"/>
  <c r="G27" i="58"/>
  <c r="C27" i="58"/>
  <c r="G26" i="58"/>
  <c r="C26" i="58"/>
  <c r="G25" i="58"/>
  <c r="B21" i="58"/>
  <c r="F20" i="58"/>
  <c r="C20" i="58"/>
  <c r="G19" i="58"/>
  <c r="C19" i="58"/>
  <c r="G18" i="58"/>
  <c r="C18" i="58"/>
  <c r="G17" i="58"/>
  <c r="C17" i="58"/>
  <c r="G16" i="58"/>
  <c r="C16" i="58"/>
  <c r="G15" i="58"/>
  <c r="C15" i="58"/>
  <c r="G14" i="58"/>
  <c r="C14" i="58"/>
  <c r="F9" i="58"/>
  <c r="B9" i="58"/>
  <c r="G8" i="58"/>
  <c r="C8" i="58"/>
  <c r="G7" i="58"/>
  <c r="C7" i="58"/>
  <c r="F7" i="55"/>
  <c r="B27" i="55"/>
  <c r="B28" i="55"/>
  <c r="B29" i="55"/>
  <c r="B30" i="55"/>
  <c r="B31" i="55"/>
  <c r="B32" i="55"/>
  <c r="B26" i="55"/>
  <c r="F27" i="55"/>
  <c r="F28" i="55"/>
  <c r="F29" i="55"/>
  <c r="F30" i="55"/>
  <c r="F31" i="9"/>
  <c r="F31" i="10"/>
  <c r="F31" i="11"/>
  <c r="F31" i="18"/>
  <c r="F31" i="55"/>
  <c r="F26" i="55"/>
  <c r="F15" i="55"/>
  <c r="F16" i="55"/>
  <c r="F17" i="55"/>
  <c r="F18" i="55"/>
  <c r="F19" i="55"/>
  <c r="F14" i="55"/>
  <c r="F8" i="55"/>
  <c r="B67" i="55"/>
  <c r="B68" i="55"/>
  <c r="B69" i="55"/>
  <c r="B70" i="55"/>
  <c r="B71" i="55"/>
  <c r="B72" i="55"/>
  <c r="B66" i="55"/>
  <c r="B56" i="55"/>
  <c r="B57" i="55"/>
  <c r="B58" i="55"/>
  <c r="B59" i="55"/>
  <c r="B60" i="55"/>
  <c r="B61" i="55"/>
  <c r="B55" i="55"/>
  <c r="B44" i="55"/>
  <c r="B43" i="55"/>
  <c r="B38" i="55"/>
  <c r="B37" i="55"/>
  <c r="B15" i="55"/>
  <c r="B16" i="55"/>
  <c r="B17" i="55"/>
  <c r="B18" i="55"/>
  <c r="B19" i="55"/>
  <c r="B20" i="55"/>
  <c r="B14" i="55"/>
  <c r="B8" i="55"/>
  <c r="B7" i="55"/>
  <c r="B73" i="55"/>
  <c r="C72" i="55"/>
  <c r="C71" i="55"/>
  <c r="C70" i="55"/>
  <c r="C69" i="55"/>
  <c r="C68" i="55"/>
  <c r="C67" i="55"/>
  <c r="C66" i="55"/>
  <c r="B62" i="55"/>
  <c r="C61" i="55"/>
  <c r="C60" i="55"/>
  <c r="C59" i="55"/>
  <c r="C58" i="55"/>
  <c r="C57" i="55"/>
  <c r="C56" i="55"/>
  <c r="C55" i="55"/>
  <c r="B49" i="55"/>
  <c r="B50" i="55"/>
  <c r="B51" i="55"/>
  <c r="C50" i="55"/>
  <c r="C49" i="55"/>
  <c r="B45" i="55"/>
  <c r="C44" i="55"/>
  <c r="C43" i="55"/>
  <c r="B39" i="55"/>
  <c r="F36" i="55"/>
  <c r="F37" i="55"/>
  <c r="F38" i="55"/>
  <c r="C38" i="55"/>
  <c r="G37" i="55"/>
  <c r="C37" i="55"/>
  <c r="G36" i="55"/>
  <c r="B33" i="55"/>
  <c r="F32" i="55"/>
  <c r="C32" i="55"/>
  <c r="G31" i="55"/>
  <c r="C31" i="55"/>
  <c r="G30" i="55"/>
  <c r="C30" i="55"/>
  <c r="G29" i="55"/>
  <c r="C29" i="55"/>
  <c r="G28" i="55"/>
  <c r="C28" i="55"/>
  <c r="G27" i="55"/>
  <c r="C27" i="55"/>
  <c r="G26" i="55"/>
  <c r="C26" i="55"/>
  <c r="B21" i="55"/>
  <c r="F20" i="55"/>
  <c r="C20" i="55"/>
  <c r="G19" i="55"/>
  <c r="C19" i="55"/>
  <c r="G18" i="55"/>
  <c r="C18" i="55"/>
  <c r="G17" i="55"/>
  <c r="C17" i="55"/>
  <c r="G16" i="55"/>
  <c r="C16" i="55"/>
  <c r="G15" i="55"/>
  <c r="C15" i="55"/>
  <c r="G14" i="55"/>
  <c r="C14" i="55"/>
  <c r="F9" i="55"/>
  <c r="B9" i="55"/>
  <c r="G8" i="55"/>
  <c r="C8" i="55"/>
  <c r="G7" i="55"/>
  <c r="C7" i="55"/>
  <c r="F20" i="18"/>
  <c r="F63" i="18"/>
  <c r="G62" i="18"/>
  <c r="F53" i="18"/>
  <c r="G52" i="18"/>
  <c r="F36" i="18"/>
  <c r="F35" i="18"/>
  <c r="G30" i="18"/>
  <c r="G19" i="18"/>
  <c r="G18" i="18"/>
  <c r="G17" i="18"/>
  <c r="G16" i="18"/>
  <c r="G15" i="18"/>
  <c r="G14" i="18"/>
  <c r="F9" i="18"/>
  <c r="G8" i="18"/>
  <c r="B73" i="18"/>
  <c r="C72" i="18"/>
  <c r="B62" i="18"/>
  <c r="C61" i="18"/>
  <c r="B105" i="18"/>
  <c r="C104" i="18"/>
  <c r="B90" i="18"/>
  <c r="C89" i="18"/>
  <c r="B50" i="18"/>
  <c r="B49" i="18"/>
  <c r="B33" i="18"/>
  <c r="C32" i="18"/>
  <c r="B21" i="18"/>
  <c r="C20" i="18"/>
  <c r="B9" i="18"/>
  <c r="C8" i="18"/>
  <c r="F68" i="11"/>
  <c r="G67" i="11"/>
  <c r="F52" i="11"/>
  <c r="G51" i="11"/>
  <c r="F36" i="11"/>
  <c r="F35" i="11"/>
  <c r="G30" i="11"/>
  <c r="F20" i="11"/>
  <c r="G19" i="11"/>
  <c r="F9" i="11"/>
  <c r="G8" i="11"/>
  <c r="B73" i="11"/>
  <c r="C72" i="11"/>
  <c r="B62" i="11"/>
  <c r="C61" i="11"/>
  <c r="B104" i="11"/>
  <c r="C103" i="11"/>
  <c r="B89" i="11"/>
  <c r="C88" i="11"/>
  <c r="B50" i="11"/>
  <c r="B49" i="11"/>
  <c r="B33" i="11"/>
  <c r="C32" i="11"/>
  <c r="B21" i="11"/>
  <c r="C20" i="11"/>
  <c r="B9" i="11"/>
  <c r="C8" i="11"/>
  <c r="F61" i="10"/>
  <c r="G59" i="10"/>
  <c r="F52" i="10"/>
  <c r="G51" i="10"/>
  <c r="G47" i="10"/>
  <c r="G43" i="10"/>
  <c r="F36" i="10"/>
  <c r="F35" i="10"/>
  <c r="G30" i="10"/>
  <c r="F20" i="10"/>
  <c r="G19" i="10"/>
  <c r="F9" i="10"/>
  <c r="G8" i="10"/>
  <c r="B73" i="10"/>
  <c r="C72" i="10"/>
  <c r="B62" i="10"/>
  <c r="C61" i="10"/>
  <c r="B103" i="10"/>
  <c r="C102" i="10"/>
  <c r="B88" i="10"/>
  <c r="C87" i="10"/>
  <c r="B50" i="10"/>
  <c r="B49" i="10"/>
  <c r="B33" i="10"/>
  <c r="C32" i="10"/>
  <c r="B21" i="10"/>
  <c r="C20" i="10"/>
  <c r="B9" i="10"/>
  <c r="C8" i="10"/>
  <c r="F62" i="9"/>
  <c r="G59" i="9"/>
  <c r="F51" i="9"/>
  <c r="G49" i="9"/>
  <c r="F36" i="9"/>
  <c r="F35" i="9"/>
  <c r="G30" i="9"/>
  <c r="F20" i="9"/>
  <c r="G19" i="9"/>
  <c r="F9" i="9"/>
  <c r="G8" i="9"/>
  <c r="B73" i="9"/>
  <c r="C72" i="9"/>
  <c r="B62" i="9"/>
  <c r="C61" i="9"/>
  <c r="B104" i="9"/>
  <c r="C103" i="9"/>
  <c r="B89" i="9"/>
  <c r="C88" i="9"/>
  <c r="B50" i="9"/>
  <c r="B49" i="9"/>
  <c r="B33" i="9"/>
  <c r="C32" i="9"/>
  <c r="B21" i="9"/>
  <c r="C20" i="9"/>
  <c r="B9" i="9"/>
  <c r="C8" i="9"/>
  <c r="B199" i="1"/>
  <c r="C179" i="1"/>
  <c r="B173" i="1"/>
  <c r="C154" i="1"/>
  <c r="B147" i="1"/>
  <c r="B146" i="1"/>
  <c r="B142" i="1"/>
  <c r="C137" i="1"/>
  <c r="B131" i="1"/>
  <c r="C127" i="1"/>
  <c r="B121" i="1"/>
  <c r="C119" i="1"/>
  <c r="B111" i="1"/>
  <c r="C106" i="1"/>
  <c r="B100" i="1"/>
  <c r="C94" i="1"/>
  <c r="B89" i="1"/>
  <c r="C70" i="1"/>
  <c r="B38" i="1"/>
  <c r="B37" i="1"/>
  <c r="B33" i="1"/>
  <c r="C28" i="1"/>
  <c r="B21" i="1"/>
  <c r="C15" i="1"/>
  <c r="B9" i="1"/>
  <c r="G43" i="18"/>
  <c r="G25" i="18"/>
  <c r="C14" i="18"/>
  <c r="C27" i="18"/>
  <c r="C27" i="11"/>
  <c r="C29" i="11"/>
  <c r="C15" i="11"/>
  <c r="G15" i="11"/>
  <c r="G25" i="11"/>
  <c r="C14" i="11"/>
  <c r="C17" i="11"/>
  <c r="C26" i="11"/>
  <c r="C28" i="11"/>
  <c r="C31" i="11"/>
  <c r="C79" i="11"/>
  <c r="C95" i="11"/>
  <c r="G7" i="11"/>
  <c r="G57" i="11"/>
  <c r="G27" i="11"/>
  <c r="C14" i="10"/>
  <c r="C16" i="10"/>
  <c r="C92" i="10"/>
  <c r="G25" i="10"/>
  <c r="C15" i="10"/>
  <c r="C17" i="10"/>
  <c r="C26" i="10"/>
  <c r="C94" i="10"/>
  <c r="C55" i="10"/>
  <c r="G27" i="10"/>
  <c r="C66" i="9"/>
  <c r="C68" i="9"/>
  <c r="C14" i="9"/>
  <c r="G43" i="9"/>
  <c r="C16" i="9"/>
  <c r="G14" i="9"/>
  <c r="G25" i="9"/>
  <c r="G41" i="9"/>
  <c r="G47" i="9"/>
  <c r="G56" i="9"/>
  <c r="B39" i="1"/>
  <c r="C38" i="1"/>
  <c r="C15" i="9"/>
  <c r="C17" i="9"/>
  <c r="C26" i="9"/>
  <c r="C80" i="9"/>
  <c r="C95" i="9"/>
  <c r="G27" i="9"/>
  <c r="G57" i="9"/>
  <c r="C29" i="10"/>
  <c r="C80" i="10"/>
  <c r="C98" i="10"/>
  <c r="C57" i="10"/>
  <c r="G15" i="10"/>
  <c r="G29" i="10"/>
  <c r="C99" i="11"/>
  <c r="C57" i="11"/>
  <c r="C69" i="11"/>
  <c r="G59" i="11"/>
  <c r="C16" i="11"/>
  <c r="C18" i="11"/>
  <c r="G17" i="11"/>
  <c r="G29" i="11"/>
  <c r="G43" i="11"/>
  <c r="G27" i="18"/>
  <c r="C29" i="18"/>
  <c r="C80" i="18"/>
  <c r="C95" i="18"/>
  <c r="C57" i="18"/>
  <c r="C66" i="18"/>
  <c r="G7" i="18"/>
  <c r="C16" i="18"/>
  <c r="C84" i="18"/>
  <c r="C68" i="18"/>
  <c r="G47" i="18"/>
  <c r="G58" i="18"/>
  <c r="C99" i="18"/>
  <c r="C83" i="11"/>
  <c r="C93" i="11"/>
  <c r="C97" i="11"/>
  <c r="C101" i="11"/>
  <c r="C55" i="11"/>
  <c r="C59" i="11"/>
  <c r="C67" i="11"/>
  <c r="C71" i="11"/>
  <c r="G47" i="11"/>
  <c r="G63" i="11"/>
  <c r="G60" i="18"/>
  <c r="C15" i="18"/>
  <c r="C18" i="18"/>
  <c r="C31" i="18"/>
  <c r="C97" i="18"/>
  <c r="C101" i="18"/>
  <c r="C55" i="18"/>
  <c r="C59" i="18"/>
  <c r="C70" i="18"/>
  <c r="G29" i="18"/>
  <c r="G59" i="18"/>
  <c r="G61" i="18"/>
  <c r="G45" i="18"/>
  <c r="G49" i="18"/>
  <c r="G42" i="18"/>
  <c r="G44" i="18"/>
  <c r="G46" i="18"/>
  <c r="G48" i="18"/>
  <c r="G51" i="18"/>
  <c r="G26" i="18"/>
  <c r="G28" i="18"/>
  <c r="C67" i="18"/>
  <c r="C69" i="18"/>
  <c r="C71" i="18"/>
  <c r="G61" i="11"/>
  <c r="G65" i="11"/>
  <c r="G58" i="11"/>
  <c r="G60" i="11"/>
  <c r="G62" i="11"/>
  <c r="G64" i="11"/>
  <c r="G66" i="11"/>
  <c r="G41" i="11"/>
  <c r="G45" i="11"/>
  <c r="G49" i="11"/>
  <c r="G42" i="11"/>
  <c r="G44" i="11"/>
  <c r="G46" i="11"/>
  <c r="G48" i="11"/>
  <c r="G50" i="11"/>
  <c r="G26" i="11"/>
  <c r="G28" i="11"/>
  <c r="G14" i="11"/>
  <c r="G16" i="11"/>
  <c r="G18" i="11"/>
  <c r="C66" i="11"/>
  <c r="C68" i="11"/>
  <c r="C70" i="11"/>
  <c r="G57" i="10"/>
  <c r="C27" i="10"/>
  <c r="C31" i="10"/>
  <c r="C78" i="10"/>
  <c r="C82" i="10"/>
  <c r="C96" i="10"/>
  <c r="C100" i="10"/>
  <c r="C59" i="10"/>
  <c r="G17" i="10"/>
  <c r="G58" i="10"/>
  <c r="G60" i="10"/>
  <c r="G41" i="10"/>
  <c r="G45" i="10"/>
  <c r="G49" i="10"/>
  <c r="G42" i="10"/>
  <c r="G44" i="10"/>
  <c r="G46" i="10"/>
  <c r="G48" i="10"/>
  <c r="G50" i="10"/>
  <c r="G26" i="10"/>
  <c r="G28" i="10"/>
  <c r="G14" i="10"/>
  <c r="G16" i="10"/>
  <c r="G18" i="10"/>
  <c r="G7" i="10"/>
  <c r="C66" i="10"/>
  <c r="C68" i="10"/>
  <c r="C70" i="10"/>
  <c r="C67" i="10"/>
  <c r="C69" i="10"/>
  <c r="C71" i="10"/>
  <c r="C28" i="9"/>
  <c r="G16" i="9"/>
  <c r="G29" i="9"/>
  <c r="G45" i="9"/>
  <c r="C18" i="9"/>
  <c r="C99" i="9"/>
  <c r="C57" i="9"/>
  <c r="G58" i="9"/>
  <c r="G60" i="9"/>
  <c r="C27" i="9"/>
  <c r="C30" i="9"/>
  <c r="C78" i="9"/>
  <c r="C83" i="9"/>
  <c r="C93" i="9"/>
  <c r="C97" i="9"/>
  <c r="C101" i="9"/>
  <c r="C55" i="9"/>
  <c r="C59" i="9"/>
  <c r="C70" i="9"/>
  <c r="G61" i="9"/>
  <c r="G18" i="9"/>
  <c r="G42" i="9"/>
  <c r="G44" i="9"/>
  <c r="G46" i="9"/>
  <c r="G48" i="9"/>
  <c r="G50" i="9"/>
  <c r="G26" i="9"/>
  <c r="G28" i="9"/>
  <c r="G15" i="9"/>
  <c r="G17" i="9"/>
  <c r="G7" i="9"/>
  <c r="C67" i="9"/>
  <c r="C69" i="9"/>
  <c r="C71" i="9"/>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94" i="18"/>
  <c r="C96" i="18"/>
  <c r="C98" i="18"/>
  <c r="C100" i="18"/>
  <c r="C103" i="18"/>
  <c r="C94" i="11"/>
  <c r="C96" i="11"/>
  <c r="C98" i="11"/>
  <c r="C100" i="11"/>
  <c r="C102" i="11"/>
  <c r="C93" i="10"/>
  <c r="C95" i="10"/>
  <c r="C97" i="10"/>
  <c r="C99" i="10"/>
  <c r="C101" i="10"/>
  <c r="C94" i="9"/>
  <c r="C96" i="9"/>
  <c r="C98" i="9"/>
  <c r="C100" i="9"/>
  <c r="C102" i="9"/>
  <c r="C68" i="1"/>
  <c r="C87" i="1"/>
  <c r="C85" i="1"/>
  <c r="C83" i="1"/>
  <c r="C81" i="1"/>
  <c r="C79" i="1"/>
  <c r="C77" i="1"/>
  <c r="C75" i="1"/>
  <c r="C73" i="1"/>
  <c r="C71" i="1"/>
  <c r="C69" i="1"/>
  <c r="C88" i="1"/>
  <c r="C86" i="1"/>
  <c r="C84" i="1"/>
  <c r="C82" i="1"/>
  <c r="C80" i="1"/>
  <c r="C78" i="1"/>
  <c r="C76" i="1"/>
  <c r="C74" i="1"/>
  <c r="C72" i="1"/>
  <c r="C56" i="18"/>
  <c r="C58" i="18"/>
  <c r="C60" i="18"/>
  <c r="C56" i="11"/>
  <c r="C58" i="11"/>
  <c r="C60" i="11"/>
  <c r="C56" i="10"/>
  <c r="C58" i="10"/>
  <c r="C60" i="10"/>
  <c r="C56" i="9"/>
  <c r="C58" i="9"/>
  <c r="C60" i="9"/>
  <c r="C93" i="1"/>
  <c r="C79" i="18"/>
  <c r="C82" i="18"/>
  <c r="C86" i="18"/>
  <c r="C81" i="18"/>
  <c r="C83" i="18"/>
  <c r="C85" i="18"/>
  <c r="C88" i="18"/>
  <c r="C26" i="18"/>
  <c r="C28" i="18"/>
  <c r="C30" i="18"/>
  <c r="C17" i="18"/>
  <c r="C19" i="18"/>
  <c r="C7" i="18"/>
  <c r="B51" i="18"/>
  <c r="C50" i="18"/>
  <c r="F37" i="18"/>
  <c r="G35" i="18"/>
  <c r="C87" i="18"/>
  <c r="C102" i="18"/>
  <c r="G50" i="18"/>
  <c r="C78" i="11"/>
  <c r="C81" i="11"/>
  <c r="C85" i="11"/>
  <c r="C80" i="11"/>
  <c r="C82" i="11"/>
  <c r="C84" i="11"/>
  <c r="C87" i="11"/>
  <c r="C30" i="11"/>
  <c r="C19" i="11"/>
  <c r="C7" i="11"/>
  <c r="B51" i="11"/>
  <c r="C50" i="11"/>
  <c r="F37" i="11"/>
  <c r="G36" i="11"/>
  <c r="C86" i="11"/>
  <c r="C77" i="10"/>
  <c r="C79" i="10"/>
  <c r="C81" i="10"/>
  <c r="C84" i="10"/>
  <c r="C83" i="10"/>
  <c r="C86" i="10"/>
  <c r="C28" i="10"/>
  <c r="C30" i="10"/>
  <c r="C19" i="10"/>
  <c r="C7" i="10"/>
  <c r="C18" i="10"/>
  <c r="B51" i="10"/>
  <c r="C50" i="10"/>
  <c r="F37" i="10"/>
  <c r="G36" i="10"/>
  <c r="C85" i="10"/>
  <c r="C79" i="9"/>
  <c r="C81" i="9"/>
  <c r="C85" i="9"/>
  <c r="C82" i="9"/>
  <c r="C84" i="9"/>
  <c r="C87" i="9"/>
  <c r="C29" i="9"/>
  <c r="C31" i="9"/>
  <c r="C19" i="9"/>
  <c r="C7" i="9"/>
  <c r="B51" i="9"/>
  <c r="C49" i="9"/>
  <c r="F37" i="9"/>
  <c r="G36" i="9"/>
  <c r="C86" i="9"/>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49" i="18"/>
  <c r="G36" i="18"/>
  <c r="C49" i="11"/>
  <c r="G35" i="11"/>
  <c r="C49" i="10"/>
  <c r="G35" i="10"/>
  <c r="C50" i="9"/>
  <c r="G35" i="9"/>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<sst xmlns="http://schemas.openxmlformats.org/spreadsheetml/2006/main" count="2577" uniqueCount="264">
  <si>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</si>
  <si>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</si>
  <si>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</si>
  <si>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</si>
  <si>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</si>
  <si>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</si>
  <si>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</si>
  <si>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</si>
  <si>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</si>
  <si>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</si>
  <si>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</si>
  <si>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</si>
  <si>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</si>
  <si>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</si>
  <si>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</si>
  <si>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</si>
  <si>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</si>
  <si>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</si>
  <si>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</si>
  <si>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</si>
  <si>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</si>
  <si>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</si>
  <si>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</si>
  <si>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</si>
  <si>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</si>
  <si>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</si>
  <si>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</si>
  <si>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</si>
  <si>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</si>
  <si>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</si>
  <si>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</si>
  <si>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</si>
  <si>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</si>
  <si>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</si>
  <si>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</si>
  <si>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</si>
  <si>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</si>
  <si>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</si>
  <si>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</si>
  <si>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</si>
  <si>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</si>
  <si>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</si>
  <si>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</si>
  <si>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</si>
  <si>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</si>
  <si>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</si>
  <si>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</si>
  <si>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</si>
  <si>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</si>
  <si>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</si>
  <si>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</si>
  <si>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</si>
  <si>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</si>
  <si>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</si>
  <si>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</si>
  <si>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</si>
  <si>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</si>
  <si>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</si>
  <si>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</si>
  <si>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</si>
  <si>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</si>
  <si>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</si>
  <si>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</si>
  <si>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German</t>
  </si>
  <si>
    <t>Ayer CDP</t>
  </si>
  <si>
    <t>Ayer town</t>
  </si>
  <si>
    <t>Berlin town</t>
  </si>
  <si>
    <t>Bolton town</t>
  </si>
  <si>
    <t>Fort Devens CDP (part)</t>
  </si>
  <si>
    <t>Harvard town</t>
  </si>
  <si>
    <t>Hudson CDP</t>
  </si>
  <si>
    <t>Hudson town</t>
  </si>
  <si>
    <t>Lancaster town</t>
  </si>
  <si>
    <t>Marlborough city</t>
  </si>
  <si>
    <t>Remainder of Ayer town</t>
  </si>
  <si>
    <t>Remainder of Harvard town</t>
  </si>
  <si>
    <t>Remainder of Hudson town</t>
  </si>
  <si>
    <t>Remainder of Lancaster town</t>
  </si>
  <si>
    <t>Remainder of Shirley town</t>
  </si>
  <si>
    <t>Remainder of Townsend town</t>
  </si>
  <si>
    <t>Shirley CDP</t>
  </si>
  <si>
    <t>Shirley town</t>
  </si>
  <si>
    <t>South Lancaster CDP</t>
  </si>
  <si>
    <t>Stow town</t>
  </si>
  <si>
    <t>Townsend CDP</t>
  </si>
  <si>
    <t>Townsend town</t>
  </si>
  <si>
    <t>Malayalam</t>
  </si>
  <si>
    <t>PUMA 500</t>
  </si>
  <si>
    <t>Billerica town</t>
  </si>
  <si>
    <t>Chelmsford town</t>
  </si>
  <si>
    <t>Dracut town</t>
  </si>
  <si>
    <t>Dunstable town</t>
  </si>
  <si>
    <t>East Pepperell CDP</t>
  </si>
  <si>
    <t>Groton CDP</t>
  </si>
  <si>
    <t>Groton town</t>
  </si>
  <si>
    <t>Pepperell CDP</t>
  </si>
  <si>
    <t>Pepperell town</t>
  </si>
  <si>
    <t>Pinehurst CDP</t>
  </si>
  <si>
    <t>Remainder of Billerica town</t>
  </si>
  <si>
    <t>Remainder of Groton town</t>
  </si>
  <si>
    <t>Remainder of Pepperell town</t>
  </si>
  <si>
    <t>Tewksbury town</t>
  </si>
  <si>
    <t>Tyngsborough town</t>
  </si>
  <si>
    <t>Gujarati</t>
  </si>
  <si>
    <t>PUMA 400</t>
  </si>
  <si>
    <t>PUMA 600</t>
  </si>
  <si>
    <t>Lowell city</t>
  </si>
  <si>
    <t>Laotian</t>
  </si>
  <si>
    <t>Other Pacific Island Languages</t>
  </si>
  <si>
    <t>Swahili</t>
  </si>
  <si>
    <t>Persian</t>
  </si>
  <si>
    <t>PUMA 1300</t>
  </si>
  <si>
    <t>Burlington CDP</t>
  </si>
  <si>
    <t>Burlington town</t>
  </si>
  <si>
    <t>North Reading town</t>
  </si>
  <si>
    <t>Reading CDP</t>
  </si>
  <si>
    <t>Reading town</t>
  </si>
  <si>
    <t>Wakefield CDP</t>
  </si>
  <si>
    <t>Wakefield town</t>
  </si>
  <si>
    <t>Wilmington CDP</t>
  </si>
  <si>
    <t>Wilmington town</t>
  </si>
  <si>
    <t>Formosan</t>
  </si>
  <si>
    <t>Bengali</t>
  </si>
  <si>
    <t>Urdu</t>
  </si>
  <si>
    <t>Ukrainian</t>
  </si>
  <si>
    <t>Thai</t>
  </si>
  <si>
    <t>Cushite</t>
  </si>
  <si>
    <t>Panjabi</t>
  </si>
  <si>
    <t>Armenian</t>
  </si>
  <si>
    <t>Amharic</t>
  </si>
  <si>
    <t>Other Indo-European Languages</t>
  </si>
  <si>
    <t>India N.E.C.</t>
  </si>
  <si>
    <t>Linguistic Isolation of All Households</t>
  </si>
  <si>
    <t>Mon-Khmer, Cambodian</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</si>
  <si>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</si>
  <si>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</si>
  <si>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</si>
  <si>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</si>
  <si>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</si>
  <si>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</si>
  <si>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</si>
  <si>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</si>
  <si>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</si>
  <si>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</si>
  <si>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</si>
  <si>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</si>
  <si>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</si>
  <si>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</si>
  <si>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</si>
  <si>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</si>
  <si>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0-100% of Poverty</t>
  </si>
  <si>
    <t>*Universe: Total population 5 years and over in PUMA=400</t>
  </si>
  <si>
    <t>*Universe: Total population 5 years and over in PUMA=500</t>
  </si>
  <si>
    <t>English Proficiency of  Population between 0-100% of Poverty</t>
  </si>
  <si>
    <t>English Proficiency of  Population between 101%-200% of Poverty</t>
  </si>
  <si>
    <t>English Proficiency of  Population between  101%-200% of Poverty</t>
  </si>
  <si>
    <t>*Universe: Total population 5 years and over in PUMA=600</t>
  </si>
  <si>
    <t>English Proficiency of Total Population between 101%-200% of Poverty</t>
  </si>
  <si>
    <t>English Proficiency of  Population between 0%-100% of Poverty</t>
  </si>
  <si>
    <t>*Universe: Total population 5 years and over in PUMA=1300</t>
  </si>
  <si>
    <t>Universe: Linguistically isolated family households</t>
  </si>
  <si>
    <t>*Universe: Total population 5 years and over in PUMA=1400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</si>
  <si>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</si>
  <si>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Linguistic Isolation</t>
  </si>
  <si>
    <t>Note: Due to the data limitation,"Other" may include Languages Spoken listed above.</t>
  </si>
  <si>
    <t>Neighborhood Legal Services Area LEP Population by Poverty</t>
  </si>
  <si>
    <t>African</t>
  </si>
  <si>
    <t>Limited English Proficient</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</si>
  <si>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</si>
  <si>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</si>
  <si>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</si>
  <si>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</si>
  <si>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</si>
  <si>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</si>
  <si>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</si>
  <si>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</si>
  <si>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</si>
  <si>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</si>
  <si>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Neighborhood Legal Services - Limited English Proficient Data with Poverty Overlay</t>
  </si>
  <si>
    <t>The above percentages are based on federal poverty guidelines. If a person's income is within 0-100%, then they live below the federal poverty line. According to this data, 6.6% of the people who live in NLS' service area live below the federal poverty line.</t>
  </si>
  <si>
    <t>The above chart shows number and percentage of LEP individuals in various income brackets based on the federal poverty guidelines. Compared to 6.6% of people who live in NLS' service area below the federal poverty line, 15.4% of LEP people who live in NLS' service area live below the federal poverty line. Therefore, LEP individuals are over 2 times as likely to live in poverty and be eligible for legal aid.</t>
  </si>
  <si>
    <t xml:space="preserve">15.4% of people in NLS' service area who live below 100% of the federal poverty line are LEP and financially eligible for NLS services. </t>
  </si>
  <si>
    <t>12.3% of people in NLS' service area who live between 101-200% of the federal poverty line are LEP.</t>
  </si>
  <si>
    <t>3)  Due to the data limitations,"Other" may include some languages listed above.**</t>
  </si>
  <si>
    <t>Mon-Khmer/Cambodian</t>
  </si>
  <si>
    <r>
      <rPr>
        <b/>
        <sz val="12"/>
        <color theme="1"/>
        <rFont val="Calibri"/>
        <family val="2"/>
        <scheme val="minor"/>
      </rPr>
      <t>Geography included:</t>
    </r>
    <r>
      <rPr>
        <sz val="12"/>
        <color theme="1"/>
        <rFont val="Calibri"/>
        <family val="2"/>
        <scheme val="minor"/>
      </rPr>
      <t xml:space="preserve">  PUMA 500, 600, 700, 800, 900, 1000, 1100, 1200, 1300</t>
    </r>
  </si>
  <si>
    <r>
      <rPr>
        <b/>
        <sz val="12"/>
        <color theme="1"/>
        <rFont val="Calibri"/>
        <family val="2"/>
        <scheme val="minor"/>
      </rPr>
      <t xml:space="preserve">Geography NOT included that is in the NLS service area: </t>
    </r>
    <r>
      <rPr>
        <sz val="12"/>
        <color theme="1"/>
        <rFont val="Calibri"/>
        <family val="2"/>
        <scheme val="minor"/>
      </rPr>
      <t xml:space="preserve"> Ashby, Ayer, Boxborough, Littleton, Shirley</t>
    </r>
  </si>
  <si>
    <r>
      <rPr>
        <b/>
        <sz val="12"/>
        <color theme="1"/>
        <rFont val="Calibri"/>
        <family val="2"/>
        <scheme val="minor"/>
      </rPr>
      <t>Geography included that is NOT in the NLS service area</t>
    </r>
    <r>
      <rPr>
        <sz val="12"/>
        <color theme="1"/>
        <rFont val="Calibri"/>
        <family val="2"/>
        <scheme val="minor"/>
      </rPr>
      <t>: Wakefield, Wilmington, Pinehurst, Tewksbury, Tyngsborough</t>
    </r>
  </si>
  <si>
    <t>PUMA 700</t>
  </si>
  <si>
    <t>Andover CDP</t>
  </si>
  <si>
    <t>Andover town</t>
  </si>
  <si>
    <t>Lawrence city</t>
  </si>
  <si>
    <t>Methuen city</t>
  </si>
  <si>
    <t>*Universe: Total population 5 years and over in PUMA=700</t>
  </si>
  <si>
    <t>Remainder of Andover town</t>
  </si>
  <si>
    <t>Indonesian</t>
  </si>
  <si>
    <t>PUMA 800</t>
  </si>
  <si>
    <t>Boxford CDP</t>
  </si>
  <si>
    <t>Boxford town</t>
  </si>
  <si>
    <t>Georgetown town</t>
  </si>
  <si>
    <t>Groveland town</t>
  </si>
  <si>
    <t>*Universe: Total population 5 years and over in PUMA=800</t>
  </si>
  <si>
    <t>Haverhill city</t>
  </si>
  <si>
    <t>Merrimac town</t>
  </si>
  <si>
    <t>North Andover town</t>
  </si>
  <si>
    <t>Remainder of Boxford town</t>
  </si>
  <si>
    <t>West Newbury town</t>
  </si>
  <si>
    <t>PUMA 900</t>
  </si>
  <si>
    <t>Amesbury CDP</t>
  </si>
  <si>
    <t>Amesbury town</t>
  </si>
  <si>
    <t>Essex CDP</t>
  </si>
  <si>
    <t>Essex town</t>
  </si>
  <si>
    <t>*Universe: Total population 5 years and over in PUMA=900</t>
  </si>
  <si>
    <t>Gloucester city</t>
  </si>
  <si>
    <t>Ipswich CDP</t>
  </si>
  <si>
    <t>Ipswich town</t>
  </si>
  <si>
    <t>Newbury town</t>
  </si>
  <si>
    <t>Newburyport city</t>
  </si>
  <si>
    <t>Remainder of Amesbury town</t>
  </si>
  <si>
    <t>Remainder of Essex town</t>
  </si>
  <si>
    <t>Remainder of Ipswich town</t>
  </si>
  <si>
    <t>Remainder of Rockport town</t>
  </si>
  <si>
    <t>Remainder of Rowley town</t>
  </si>
  <si>
    <t>Remainder of Salisbury town</t>
  </si>
  <si>
    <t>Rockport CDP</t>
  </si>
  <si>
    <t>Rockport town</t>
  </si>
  <si>
    <t>Rowley CDP</t>
  </si>
  <si>
    <t>Rowley town</t>
  </si>
  <si>
    <t>Salisbury CDP</t>
  </si>
  <si>
    <t>Salisbury town</t>
  </si>
  <si>
    <t>PUMA 1000</t>
  </si>
  <si>
    <t>Danvers CDP</t>
  </si>
  <si>
    <t>Danvers town</t>
  </si>
  <si>
    <t>Hamilton town</t>
  </si>
  <si>
    <t>Lynnfield CDP</t>
  </si>
  <si>
    <t>*Universe: Total population 5 years and over in PUMA=1000</t>
  </si>
  <si>
    <t>Lynnfield town</t>
  </si>
  <si>
    <t>Middleton town</t>
  </si>
  <si>
    <t>Peabody city</t>
  </si>
  <si>
    <t>Remainder of Topsfield town</t>
  </si>
  <si>
    <t>Topsfield CDP</t>
  </si>
  <si>
    <t>Topsfield town</t>
  </si>
  <si>
    <t>Wenham town</t>
  </si>
  <si>
    <t>Romanian</t>
  </si>
  <si>
    <t>PUMA 1100</t>
  </si>
  <si>
    <t>Beverly city</t>
  </si>
  <si>
    <t>Manchester-by-the-Sea town</t>
  </si>
  <si>
    <t>Marblehead CDP</t>
  </si>
  <si>
    <t>Marblehead town</t>
  </si>
  <si>
    <t>*Universe: Total population 5 years and over in PUMA=1100</t>
  </si>
  <si>
    <t>Salem city</t>
  </si>
  <si>
    <t>Swampscott CDP</t>
  </si>
  <si>
    <t>Swampscott town</t>
  </si>
  <si>
    <t>Hungarian</t>
  </si>
  <si>
    <t>Czech</t>
  </si>
  <si>
    <t>PUMA 1200</t>
  </si>
  <si>
    <t>Lynn city</t>
  </si>
  <si>
    <t>Nahant CDP</t>
  </si>
  <si>
    <t>Nahant town</t>
  </si>
  <si>
    <t>Remainder of Saugus town</t>
  </si>
  <si>
    <t>*Universe: Total population 5 years and over in PUMA=1200</t>
  </si>
  <si>
    <t>Saugus CDP</t>
  </si>
  <si>
    <t>Saugus town</t>
  </si>
  <si>
    <t>Nepali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</si>
</sst>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amily val="2"/>
    </font>
    <font>
      <b/>
      <sz val="11"/>
      <color indexed="8"/>
      <name val="Calibri"/>
      <family val="2"/>
    </font>
    <font>
      <i/>
      <sz val="11"/>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sz val="11"/>
      <color rgb="FF00000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s>
  <borders count="41">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top style="medium">
        <color auto="1"/>
      </top>
      <bottom style="thin">
        <color indexed="64"/>
      </bottom>
      <diagonal/>
    </border>
    <border>
      <left style="thin">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s>
  <cellStyleXfs count="78">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6" fillId="5" borderId="0" applyNumberFormat="0" applyBorder="0" applyAlignment="0" applyProtection="0"/>
    <xf numFmtId="0" fontId="18"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92">
    <xf numFmtId="0" fontId="0" fillId="0" borderId="0" xfId="0"/>
    <xf numFmtId="0" fontId="0" fillId="0" borderId="0" xfId="0"/>
    <xf numFmtId="0" fontId="0" fillId="0" borderId="5" xfId="0" applyBorder="1"/>
    <xf numFmtId="165" fontId="0" fillId="0" borderId="9" xfId="1" applyNumberFormat="1" applyFont="1" applyBorder="1"/>
    <xf numFmtId="0" fontId="4"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4" fillId="0" borderId="12" xfId="0" applyFont="1" applyBorder="1" applyAlignment="1">
      <alignment horizontal="center"/>
    </xf>
    <xf numFmtId="0" fontId="4"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164" fontId="0" fillId="0" borderId="5" xfId="2" applyNumberFormat="1" applyFont="1" applyBorder="1"/>
    <xf numFmtId="0" fontId="5" fillId="0" borderId="0" xfId="0" applyFont="1" applyAlignment="1">
      <alignment horizontal="center"/>
    </xf>
    <xf numFmtId="0" fontId="7" fillId="0" borderId="0" xfId="3"/>
    <xf numFmtId="9" fontId="0" fillId="0" borderId="5" xfId="2" applyFont="1" applyBorder="1"/>
    <xf numFmtId="0" fontId="0" fillId="0" borderId="0" xfId="0" applyBorder="1"/>
    <xf numFmtId="0" fontId="4" fillId="0" borderId="0" xfId="0" applyFont="1"/>
    <xf numFmtId="0" fontId="4"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5" fillId="0" borderId="0" xfId="0" applyFont="1" applyAlignment="1">
      <alignment horizontal="center"/>
    </xf>
    <xf numFmtId="0" fontId="0" fillId="0" borderId="20" xfId="0" applyFill="1" applyBorder="1"/>
    <xf numFmtId="0" fontId="0" fillId="0" borderId="0" xfId="0" applyFont="1"/>
    <xf numFmtId="0" fontId="0" fillId="0" borderId="0" xfId="0" applyFill="1"/>
    <xf numFmtId="0" fontId="0" fillId="0" borderId="18" xfId="0"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165" fontId="0" fillId="0" borderId="24" xfId="1" applyNumberFormat="1" applyFont="1" applyBorder="1"/>
    <xf numFmtId="164" fontId="0" fillId="0" borderId="25" xfId="2" applyNumberFormat="1" applyFont="1" applyBorder="1"/>
    <xf numFmtId="0" fontId="0" fillId="0" borderId="26" xfId="0" applyBorder="1"/>
    <xf numFmtId="0" fontId="0" fillId="0" borderId="27" xfId="0" applyBorder="1"/>
    <xf numFmtId="165" fontId="0" fillId="0" borderId="28" xfId="1" applyNumberFormat="1" applyFont="1" applyBorder="1"/>
    <xf numFmtId="0" fontId="0" fillId="3" borderId="2" xfId="0" applyFill="1" applyBorder="1"/>
    <xf numFmtId="165" fontId="4" fillId="0" borderId="9" xfId="1" applyNumberFormat="1" applyFont="1" applyBorder="1"/>
    <xf numFmtId="165" fontId="4" fillId="0" borderId="0" xfId="1" applyNumberFormat="1" applyFont="1" applyBorder="1"/>
    <xf numFmtId="164" fontId="0" fillId="0" borderId="0" xfId="2" applyNumberFormat="1" applyFont="1" applyBorder="1"/>
    <xf numFmtId="0" fontId="0" fillId="6" borderId="2" xfId="0" applyFill="1" applyBorder="1"/>
    <xf numFmtId="165" fontId="17" fillId="6" borderId="0" xfId="58"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0" fontId="18" fillId="8" borderId="2" xfId="59" applyFill="1" applyBorder="1"/>
    <xf numFmtId="165" fontId="18" fillId="8" borderId="0" xfId="59" applyNumberFormat="1" applyFill="1" applyBorder="1"/>
    <xf numFmtId="164" fontId="18" fillId="8" borderId="3" xfId="59" applyNumberFormat="1" applyFill="1" applyBorder="1"/>
    <xf numFmtId="0" fontId="0" fillId="9" borderId="2" xfId="0" applyFill="1" applyBorder="1"/>
    <xf numFmtId="165" fontId="0" fillId="9" borderId="0" xfId="1" applyNumberFormat="1" applyFont="1" applyFill="1" applyBorder="1"/>
    <xf numFmtId="164" fontId="0" fillId="9" borderId="3" xfId="2" applyNumberFormat="1" applyFont="1" applyFill="1" applyBorder="1"/>
    <xf numFmtId="165" fontId="4" fillId="0" borderId="28" xfId="1" applyNumberFormat="1" applyFont="1" applyBorder="1"/>
    <xf numFmtId="165" fontId="0" fillId="0" borderId="30" xfId="1" applyNumberFormat="1" applyFont="1" applyBorder="1"/>
    <xf numFmtId="0" fontId="4" fillId="0" borderId="33" xfId="0" applyFont="1" applyBorder="1" applyAlignment="1">
      <alignment horizontal="center"/>
    </xf>
    <xf numFmtId="0" fontId="4" fillId="0" borderId="22" xfId="0" applyFont="1" applyBorder="1" applyAlignment="1">
      <alignment horizontal="center"/>
    </xf>
    <xf numFmtId="0" fontId="4" fillId="0" borderId="34" xfId="0" applyFont="1" applyBorder="1" applyAlignment="1">
      <alignment horizontal="center"/>
    </xf>
    <xf numFmtId="0" fontId="0" fillId="0" borderId="35" xfId="0" applyBorder="1"/>
    <xf numFmtId="0" fontId="0" fillId="0" borderId="5" xfId="0" applyFill="1" applyBorder="1"/>
    <xf numFmtId="0" fontId="4" fillId="0" borderId="36" xfId="0" applyFont="1" applyBorder="1" applyAlignment="1">
      <alignment horizontal="center"/>
    </xf>
    <xf numFmtId="0" fontId="14" fillId="0" borderId="0" xfId="0" applyFont="1"/>
    <xf numFmtId="0" fontId="2" fillId="0" borderId="0" xfId="0" applyFont="1"/>
    <xf numFmtId="0" fontId="2" fillId="0" borderId="0" xfId="0" applyFont="1" applyFill="1" applyBorder="1" applyAlignment="1"/>
    <xf numFmtId="0" fontId="2" fillId="0" borderId="0" xfId="0" applyFont="1" applyAlignment="1">
      <alignment horizontal="left"/>
    </xf>
    <xf numFmtId="0" fontId="4" fillId="0" borderId="4" xfId="0" applyFont="1" applyBorder="1"/>
    <xf numFmtId="165" fontId="4" fillId="0" borderId="31" xfId="1" applyNumberFormat="1" applyFont="1" applyBorder="1"/>
    <xf numFmtId="0" fontId="4" fillId="0" borderId="4" xfId="0" applyFont="1" applyFill="1" applyBorder="1"/>
    <xf numFmtId="165" fontId="4" fillId="0" borderId="31" xfId="1" applyNumberFormat="1" applyFont="1" applyFill="1"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5" fillId="0" borderId="0" xfId="0" applyFont="1" applyAlignment="1">
      <alignment horizontal="center"/>
    </xf>
    <xf numFmtId="0" fontId="1" fillId="0" borderId="0" xfId="0" applyFont="1" applyFill="1" applyBorder="1" applyAlignment="1"/>
    <xf numFmtId="0" fontId="0" fillId="0" borderId="20" xfId="0" applyBorder="1"/>
    <xf numFmtId="0" fontId="0" fillId="0" borderId="37" xfId="0" applyBorder="1"/>
    <xf numFmtId="165" fontId="0" fillId="0" borderId="29" xfId="1" applyNumberFormat="1" applyFont="1" applyBorder="1"/>
    <xf numFmtId="0" fontId="4" fillId="0" borderId="38" xfId="0" applyFont="1" applyBorder="1" applyAlignment="1">
      <alignment horizontal="center"/>
    </xf>
    <xf numFmtId="0" fontId="4" fillId="0" borderId="8" xfId="0" applyFont="1" applyBorder="1" applyAlignment="1">
      <alignment horizontal="center"/>
    </xf>
    <xf numFmtId="0" fontId="4" fillId="0" borderId="39" xfId="0" applyFont="1" applyBorder="1" applyAlignment="1">
      <alignment horizontal="center"/>
    </xf>
    <xf numFmtId="0" fontId="4" fillId="0" borderId="1" xfId="0" applyFont="1" applyBorder="1" applyAlignment="1">
      <alignment horizontal="center"/>
    </xf>
    <xf numFmtId="0" fontId="0" fillId="0" borderId="18" xfId="0" applyFill="1" applyBorder="1"/>
    <xf numFmtId="165" fontId="0" fillId="0" borderId="9" xfId="0" applyNumberFormat="1" applyBorder="1"/>
    <xf numFmtId="0" fontId="0" fillId="0" borderId="4" xfId="0" applyFill="1" applyBorder="1"/>
    <xf numFmtId="164" fontId="20" fillId="0" borderId="25" xfId="0" applyNumberFormat="1" applyFont="1" applyBorder="1" applyAlignment="1"/>
    <xf numFmtId="164" fontId="20" fillId="0" borderId="3" xfId="0" applyNumberFormat="1" applyFont="1" applyBorder="1" applyAlignment="1"/>
    <xf numFmtId="164" fontId="13" fillId="0" borderId="5" xfId="0" applyNumberFormat="1" applyFont="1" applyBorder="1" applyAlignment="1"/>
    <xf numFmtId="165" fontId="0" fillId="0" borderId="31" xfId="0" applyNumberFormat="1" applyBorder="1"/>
    <xf numFmtId="164" fontId="20" fillId="0" borderId="16" xfId="0" applyNumberFormat="1" applyFont="1" applyBorder="1" applyAlignment="1"/>
    <xf numFmtId="0" fontId="0" fillId="0" borderId="20" xfId="0" applyFill="1" applyBorder="1" applyAlignment="1">
      <alignment horizontal="left"/>
    </xf>
    <xf numFmtId="165" fontId="0" fillId="0" borderId="29" xfId="1" applyNumberFormat="1" applyFont="1" applyFill="1" applyBorder="1"/>
    <xf numFmtId="165" fontId="0" fillId="0" borderId="31" xfId="0" applyNumberFormat="1" applyFill="1" applyBorder="1"/>
    <xf numFmtId="0" fontId="4" fillId="0" borderId="40" xfId="0" applyFont="1" applyBorder="1" applyAlignment="1">
      <alignment horizontal="center"/>
    </xf>
    <xf numFmtId="0" fontId="4" fillId="0" borderId="7" xfId="0" applyFont="1" applyBorder="1" applyAlignment="1">
      <alignment horizontal="center"/>
    </xf>
    <xf numFmtId="164" fontId="0" fillId="0" borderId="15" xfId="2" applyNumberFormat="1" applyFont="1" applyBorder="1"/>
    <xf numFmtId="0" fontId="2" fillId="0" borderId="0" xfId="0" applyFont="1" applyFill="1" applyBorder="1" applyAlignment="1">
      <alignment horizontal="left" wrapText="1"/>
    </xf>
    <xf numFmtId="0" fontId="1" fillId="0" borderId="0" xfId="0" applyFont="1" applyFill="1" applyAlignment="1">
      <alignment horizontal="left" wrapText="1"/>
    </xf>
    <xf numFmtId="0" fontId="2" fillId="0" borderId="0" xfId="0" applyFont="1" applyFill="1" applyAlignment="1">
      <alignment horizontal="left" wrapText="1"/>
    </xf>
    <xf numFmtId="0" fontId="1" fillId="0" borderId="0" xfId="0" applyFont="1" applyAlignment="1">
      <alignment horizontal="left"/>
    </xf>
    <xf numFmtId="0" fontId="2" fillId="0" borderId="0" xfId="0" applyFont="1" applyAlignment="1">
      <alignment horizontal="left"/>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15" fillId="0" borderId="0" xfId="0" applyFont="1" applyAlignment="1">
      <alignment horizontal="center" vertical="center"/>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1" fillId="0" borderId="0" xfId="0" applyFont="1" applyFill="1" applyBorder="1" applyAlignment="1">
      <alignment horizontal="left"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0" borderId="32" xfId="0" applyFont="1" applyBorder="1" applyAlignment="1">
      <alignment horizontal="center" wrapText="1"/>
    </xf>
    <xf numFmtId="0" fontId="6" fillId="0" borderId="23" xfId="0" applyFont="1" applyBorder="1" applyAlignment="1">
      <alignment horizontal="center" wrapText="1"/>
    </xf>
    <xf numFmtId="0" fontId="6" fillId="0" borderId="21" xfId="0" applyFont="1" applyBorder="1" applyAlignment="1">
      <alignment horizontal="center" wrapText="1"/>
    </xf>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0" fontId="0" fillId="0" borderId="9" xfId="0" applyFill="1" applyBorder="1" applyAlignment="1">
      <alignment horizontal="left" wrapText="1"/>
    </xf>
    <xf numFmtId="0" fontId="5" fillId="0" borderId="0" xfId="0" applyFont="1" applyAlignment="1">
      <alignment horizontal="center"/>
    </xf>
    <xf numFmtId="0" fontId="10" fillId="0" borderId="0" xfId="0" applyFont="1" applyAlignment="1">
      <alignment horizontal="center"/>
    </xf>
    <xf numFmtId="0" fontId="10"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0" fontId="6"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0" fontId="6" fillId="3" borderId="8" xfId="0" applyFont="1" applyFill="1" applyBorder="1" applyAlignment="1">
      <alignment horizontal="center"/>
    </xf>
    <xf numFmtId="0" fontId="6" fillId="3" borderId="7" xfId="0" applyFont="1" applyFill="1" applyBorder="1" applyAlignment="1">
      <alignment horizontal="center"/>
    </xf>
    <xf numFmtId="0" fontId="6" fillId="3" borderId="1" xfId="0" applyFont="1" applyFill="1" applyBorder="1" applyAlignment="1">
      <alignment horizontal="center"/>
    </xf>
    <xf numFmtId="43" fontId="6" fillId="0" borderId="8" xfId="1" applyFont="1" applyBorder="1" applyAlignment="1">
      <alignment horizontal="center"/>
    </xf>
    <xf numFmtId="43" fontId="6" fillId="0" borderId="7" xfId="1" applyFont="1" applyBorder="1" applyAlignment="1">
      <alignment horizontal="center"/>
    </xf>
    <xf numFmtId="43" fontId="6" fillId="0" borderId="1" xfId="1" applyFont="1" applyBorder="1" applyAlignment="1">
      <alignment horizontal="center"/>
    </xf>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cellXfs>
  <cellStyles count="78">
    <cellStyle name="60% - Accent2 2" xfId="58"/>
    <cellStyle name="Bad 2" xfId="59"/>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Normal" xfId="0" builtinId="0"/>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825906070251903"/>
          <c:y val="0.148602571175418"/>
          <c:w val="0.36072800899887503"/>
          <c:h val="0.80044201481184296"/>
        </c:manualLayout>
      </c:layout>
      <c:pieChart>
        <c:varyColors val="1"/>
        <c:ser>
          <c:idx val="0"/>
          <c:order val="0"/>
          <c:tx>
            <c:strRef>
              <c:f>'NLS Service Area Charts'!$C$4</c:f>
              <c:strCache>
                <c:ptCount val="1"/>
                <c:pt idx="0">
                  <c:v>Percent</c:v>
                </c:pt>
              </c:strCache>
            </c:strRef>
          </c:tx>
          <c:explosion val="11"/>
          <c:dLbls>
            <c:showLegendKey val="0"/>
            <c:showVal val="0"/>
            <c:showCatName val="0"/>
            <c:showSerName val="0"/>
            <c:showPercent val="1"/>
            <c:showBubbleSize val="0"/>
            <c:showLeaderLines val="1"/>
          </c:dLbls>
          <c:cat>
            <c:strRef>
              <c:f>'NLS Service Area Charts'!$A$5:$A$6</c:f>
              <c:strCache>
                <c:ptCount val="2"/>
                <c:pt idx="0">
                  <c:v>English Proficient</c:v>
                </c:pt>
                <c:pt idx="1">
                  <c:v>Limited English Proficent</c:v>
                </c:pt>
              </c:strCache>
            </c:strRef>
          </c:cat>
          <c:val>
            <c:numRef>
              <c:f>'NLS Service Area Charts'!$C$5:$C$6</c:f>
              <c:numCache>
                <c:formatCode>0.0%</c:formatCode>
                <c:ptCount val="2"/>
                <c:pt idx="0">
                  <c:v>0.91156767967522179</c:v>
                </c:pt>
                <c:pt idx="1">
                  <c:v>8.8432320324778255E-2</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'NLS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'NLS Service Area Charts'!$A$13:$A$19</c:f>
              <c:strCache>
                <c:ptCount val="7"/>
                <c:pt idx="0">
                  <c:v>0-100%</c:v>
                </c:pt>
                <c:pt idx="1">
                  <c:v>101%-200%</c:v>
                </c:pt>
                <c:pt idx="2">
                  <c:v>201%-300%</c:v>
                </c:pt>
                <c:pt idx="3">
                  <c:v>301%-400%</c:v>
                </c:pt>
                <c:pt idx="4">
                  <c:v>401%-500%</c:v>
                </c:pt>
                <c:pt idx="5">
                  <c:v>501% and Over</c:v>
                </c:pt>
                <c:pt idx="6">
                  <c:v>Missing Data</c:v>
                </c:pt>
              </c:strCache>
            </c:strRef>
          </c:cat>
          <c:val>
            <c:numRef>
              <c:f>'NLS Service Area Charts'!$C$13:$C$19</c:f>
              <c:numCache>
                <c:formatCode>0.0%</c:formatCode>
                <c:ptCount val="7"/>
                <c:pt idx="0">
                  <c:v>8.8506148994742045E-2</c:v>
                </c:pt>
                <c:pt idx="1">
                  <c:v>0.11557326689318774</c:v>
                </c:pt>
                <c:pt idx="2">
                  <c:v>0.12464061561230275</c:v>
                </c:pt>
                <c:pt idx="3">
                  <c:v>0.1323493470830038</c:v>
                </c:pt>
                <c:pt idx="4">
                  <c:v>0.12117406254561254</c:v>
                </c:pt>
                <c:pt idx="5">
                  <c:v>0.39819705296316033</c:v>
                </c:pt>
                <c:pt idx="6">
                  <c:v>1.9559505907990809E-2</c:v>
                </c:pt>
              </c:numCache>
            </c:numRef>
          </c:val>
        </c:ser>
        <c:dLbls>
          <c:showLegendKey val="0"/>
          <c:showVal val="1"/>
          <c:showCatName val="0"/>
          <c:showSerName val="0"/>
          <c:showPercent val="0"/>
          <c:showBubbleSize val="0"/>
        </c:dLbls>
        <c:gapWidth val="150"/>
        <c:overlap val="-25"/>
        <c:axId val="169554688"/>
        <c:axId val="169556608"/>
      </c:barChart>
      <c:catAx>
        <c:axId val="169554688"/>
        <c:scaling>
          <c:orientation val="minMax"/>
        </c:scaling>
        <c:delete val="0"/>
        <c:axPos val="b"/>
        <c:majorTickMark val="none"/>
        <c:minorTickMark val="none"/>
        <c:tickLblPos val="nextTo"/>
        <c:crossAx val="169556608"/>
        <c:crosses val="autoZero"/>
        <c:auto val="1"/>
        <c:lblAlgn val="ctr"/>
        <c:lblOffset val="100"/>
        <c:noMultiLvlLbl val="0"/>
      </c:catAx>
      <c:valAx>
        <c:axId val="169556608"/>
        <c:scaling>
          <c:orientation val="minMax"/>
        </c:scaling>
        <c:delete val="1"/>
        <c:axPos val="l"/>
        <c:numFmt formatCode="0.0%" sourceLinked="1"/>
        <c:majorTickMark val="out"/>
        <c:minorTickMark val="none"/>
        <c:tickLblPos val="nextTo"/>
        <c:crossAx val="16955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'NLS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'NLS Service Area Charts'!$A$26:$A$32</c:f>
              <c:strCache>
                <c:ptCount val="7"/>
                <c:pt idx="0">
                  <c:v>0-100%</c:v>
                </c:pt>
                <c:pt idx="1">
                  <c:v>101%-200%</c:v>
                </c:pt>
                <c:pt idx="2">
                  <c:v>201%-300%</c:v>
                </c:pt>
                <c:pt idx="3">
                  <c:v>301%-400%</c:v>
                </c:pt>
                <c:pt idx="4">
                  <c:v>401%-500%</c:v>
                </c:pt>
                <c:pt idx="5">
                  <c:v>501% and Over</c:v>
                </c:pt>
                <c:pt idx="6">
                  <c:v>Missing Data</c:v>
                </c:pt>
              </c:strCache>
            </c:strRef>
          </c:cat>
          <c:val>
            <c:numRef>
              <c:f>'NLS Service Area Charts'!$C$26:$C$32</c:f>
              <c:numCache>
                <c:formatCode>0.0%</c:formatCode>
                <c:ptCount val="7"/>
                <c:pt idx="0">
                  <c:v>0.21861835350113715</c:v>
                </c:pt>
                <c:pt idx="1">
                  <c:v>0.24455661219280483</c:v>
                </c:pt>
                <c:pt idx="2">
                  <c:v>0.17695208667197651</c:v>
                </c:pt>
                <c:pt idx="3">
                  <c:v>0.13702271396904298</c:v>
                </c:pt>
                <c:pt idx="4">
                  <c:v>8.2382519743976049E-2</c:v>
                </c:pt>
                <c:pt idx="5">
                  <c:v>0.126054371503421</c:v>
                </c:pt>
                <c:pt idx="6">
                  <c:v>1.4413342417641471E-2</c:v>
                </c:pt>
              </c:numCache>
            </c:numRef>
          </c:val>
        </c:ser>
        <c:dLbls>
          <c:showLegendKey val="0"/>
          <c:showVal val="1"/>
          <c:showCatName val="0"/>
          <c:showSerName val="0"/>
          <c:showPercent val="0"/>
          <c:showBubbleSize val="0"/>
        </c:dLbls>
        <c:gapWidth val="150"/>
        <c:overlap val="-25"/>
        <c:axId val="175548672"/>
        <c:axId val="180584448"/>
      </c:barChart>
      <c:catAx>
        <c:axId val="175548672"/>
        <c:scaling>
          <c:orientation val="minMax"/>
        </c:scaling>
        <c:delete val="0"/>
        <c:axPos val="b"/>
        <c:majorTickMark val="none"/>
        <c:minorTickMark val="none"/>
        <c:tickLblPos val="nextTo"/>
        <c:crossAx val="180584448"/>
        <c:crosses val="autoZero"/>
        <c:auto val="1"/>
        <c:lblAlgn val="ctr"/>
        <c:lblOffset val="100"/>
        <c:noMultiLvlLbl val="0"/>
      </c:catAx>
      <c:valAx>
        <c:axId val="180584448"/>
        <c:scaling>
          <c:orientation val="minMax"/>
        </c:scaling>
        <c:delete val="1"/>
        <c:axPos val="l"/>
        <c:numFmt formatCode="0.0%" sourceLinked="1"/>
        <c:majorTickMark val="none"/>
        <c:minorTickMark val="none"/>
        <c:tickLblPos val="nextTo"/>
        <c:crossAx val="17554867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7.67363513523074E-2"/>
          <c:y val="3.8943107649579999E-2"/>
        </c:manualLayout>
      </c:layout>
      <c:overlay val="0"/>
    </c:title>
    <c:autoTitleDeleted val="0"/>
    <c:plotArea>
      <c:layout>
        <c:manualLayout>
          <c:layoutTarget val="inner"/>
          <c:xMode val="edge"/>
          <c:yMode val="edge"/>
          <c:x val="0.68176332525741978"/>
          <c:y val="0.19118313436626874"/>
          <c:w val="0.30309171353580799"/>
          <c:h val="0.77432248927906899"/>
        </c:manualLayout>
      </c:layout>
      <c:pieChart>
        <c:varyColors val="1"/>
        <c:ser>
          <c:idx val="0"/>
          <c:order val="0"/>
          <c:tx>
            <c:strRef>
              <c:f>'NLS Service Area Charts'!$C$38</c:f>
              <c:strCache>
                <c:ptCount val="1"/>
                <c:pt idx="0">
                  <c:v>Percent</c:v>
                </c:pt>
              </c:strCache>
            </c:strRef>
          </c:tx>
          <c:spPr>
            <a:solidFill>
              <a:schemeClr val="accent2">
                <a:lumMod val="60000"/>
                <a:lumOff val="40000"/>
              </a:schemeClr>
            </a:solidFill>
          </c:spPr>
          <c:explosion val="3"/>
          <c:dPt>
            <c:idx val="0"/>
            <c:bubble3D val="0"/>
            <c:spPr>
              <a:solidFill>
                <a:srgbClr val="FFFF00"/>
              </a:solidFill>
            </c:spPr>
          </c:dPt>
          <c:dPt>
            <c:idx val="1"/>
            <c:bubble3D val="0"/>
            <c:explosion val="10"/>
            <c:spPr>
              <a:solidFill>
                <a:schemeClr val="accent4">
                  <a:lumMod val="60000"/>
                  <a:lumOff val="40000"/>
                </a:schemeClr>
              </a:solidFill>
            </c:spPr>
          </c:dPt>
          <c:dLbls>
            <c:showLegendKey val="0"/>
            <c:showVal val="0"/>
            <c:showCatName val="0"/>
            <c:showSerName val="0"/>
            <c:showPercent val="1"/>
            <c:showBubbleSize val="0"/>
            <c:showLeaderLines val="1"/>
          </c:dLbls>
          <c:cat>
            <c:strRef>
              <c:f>'NLS Service Area Charts'!$A$39:$A$40</c:f>
              <c:strCache>
                <c:ptCount val="2"/>
                <c:pt idx="0">
                  <c:v>English Proficient</c:v>
                </c:pt>
                <c:pt idx="1">
                  <c:v>Limited English Proficent</c:v>
                </c:pt>
              </c:strCache>
            </c:strRef>
          </c:cat>
          <c:val>
            <c:numRef>
              <c:f>'NLS Service Area Charts'!$C$39:$C$40</c:f>
              <c:numCache>
                <c:formatCode>0.0%</c:formatCode>
                <c:ptCount val="2"/>
                <c:pt idx="0">
                  <c:v>0.78156401012502874</c:v>
                </c:pt>
                <c:pt idx="1">
                  <c:v>0.21843598987497123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0.107343062117235"/>
          <c:y val="5.40361902796937E-3"/>
        </c:manualLayout>
      </c:layout>
      <c:overlay val="0"/>
    </c:title>
    <c:autoTitleDeleted val="0"/>
    <c:plotArea>
      <c:layout>
        <c:manualLayout>
          <c:layoutTarget val="inner"/>
          <c:xMode val="edge"/>
          <c:yMode val="edge"/>
          <c:x val="0.65325581050727488"/>
          <c:y val="0.14630853121801901"/>
          <c:w val="0.33340407806098832"/>
          <c:h val="0.85369175986759616"/>
        </c:manualLayout>
      </c:layout>
      <c:pieChart>
        <c:varyColors val="1"/>
        <c:ser>
          <c:idx val="0"/>
          <c:order val="0"/>
          <c:tx>
            <c:strRef>
              <c:f>'NLS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'NLS Service Area Charts'!$A$47:$A$48</c:f>
              <c:strCache>
                <c:ptCount val="2"/>
                <c:pt idx="0">
                  <c:v>English Proficient</c:v>
                </c:pt>
                <c:pt idx="1">
                  <c:v>Limited English Proficent</c:v>
                </c:pt>
              </c:strCache>
            </c:strRef>
          </c:cat>
          <c:val>
            <c:numRef>
              <c:f>'NLS Service Area Charts'!$C$47:$C$48</c:f>
              <c:numCache>
                <c:formatCode>0.0%</c:formatCode>
                <c:ptCount val="2"/>
                <c:pt idx="0">
                  <c:v>0.81287447133458646</c:v>
                </c:pt>
                <c:pt idx="1">
                  <c:v>0.18712552866541354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57150</xdr:rowOff>
    </xdr:from>
    <xdr:to>
      <xdr:col>7</xdr:col>
      <xdr:colOff>0</xdr:colOff>
      <xdr:row>7</xdr:row>
      <xdr:rowOff>257175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247648</xdr:colOff>
      <xdr:row>9</xdr:row>
      <xdr:rowOff>152398</xdr:rowOff>
    </xdr:from>
    <xdr:to>
      <xdr:col>7</xdr:col>
      <xdr:colOff>0</xdr:colOff>
      <xdr:row>20</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22</xdr:row>
      <xdr:rowOff>133348</xdr:rowOff>
    </xdr:from>
    <xdr:to>
      <xdr:col>6</xdr:col>
      <xdr:colOff>523874</xdr:colOff>
      <xdr:row>33</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161926</xdr:colOff>
      <xdr:row>34</xdr:row>
      <xdr:rowOff>838199</xdr:rowOff>
    </xdr:from>
    <xdr:to>
      <xdr:col>7</xdr:col>
      <xdr:colOff>1</xdr:colOff>
      <xdr:row>42</xdr:row>
      <xdr:rowOff>161924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142875</xdr:colOff>
      <xdr:row>43</xdr:row>
      <xdr:rowOff>66675</xdr:rowOff>
    </xdr:from>
    <xdr:to>
      <xdr:col>7</xdr:col>
      <xdr:colOff>1</xdr:colOff>
      <xdr:row>50</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5" sqref="A15"/>
    </sheetView>
  </sheetViews>
  <sheetFormatPr defaultColWidth="8.85546875" defaultRowHeight="15" x14ac:dyDescent="0.25"/>
  <cols>
    <col min="1" max="1" width="153.85546875" style="40" customWidth="1"/>
    <col min="2" max="16384" width="8.85546875" style="40"/>
  </cols>
  <sheetData>
    <row r="1" spans="1:7" x14ac:dyDescent="0.25">
      <c r="A1" s="40" t="s">
        <v>165</v>
      </c>
    </row>
    <row r="2" spans="1:7" x14ac:dyDescent="0.25">
      <c r="A2" s="65" t="s">
        <v>147</v>
      </c>
    </row>
    <row r="3" spans="1:7" ht="60" x14ac:dyDescent="0.25">
      <c r="A3" s="59" t="s">
        <v>143</v>
      </c>
    </row>
    <row r="4" spans="1:7" x14ac:dyDescent="0.25">
      <c r="A4" s="41"/>
    </row>
    <row r="5" spans="1:7" x14ac:dyDescent="0.25">
      <c r="A5" s="60" t="s">
        <v>144</v>
      </c>
    </row>
    <row r="6" spans="1:7" ht="45" x14ac:dyDescent="0.25">
      <c r="A6" s="61" t="s">
        <v>162</v>
      </c>
    </row>
    <row r="7" spans="1:7" ht="30" x14ac:dyDescent="0.25">
      <c r="A7" s="61" t="s">
        <v>145</v>
      </c>
    </row>
    <row r="8" spans="1:7" ht="45" x14ac:dyDescent="0.25">
      <c r="A8" s="61" t="s">
        <v>146</v>
      </c>
    </row>
    <row r="9" spans="1:7" x14ac:dyDescent="0.25">
      <c r="A9" s="62"/>
    </row>
    <row r="10" spans="1:7" x14ac:dyDescent="0.25">
      <c r="A10" s="63" t="s">
        <v>142</v>
      </c>
    </row>
    <row r="11" spans="1:7" x14ac:dyDescent="0.25">
      <c r="A11" s="64"/>
    </row>
    <row r="12" spans="1:7" ht="15.75" x14ac:dyDescent="0.25">
      <c r="A12" s="147" t="s">
        <v>185</v>
      </c>
      <c r="B12" s="148"/>
      <c r="C12" s="148"/>
      <c r="D12" s="148"/>
      <c r="E12" s="148"/>
      <c r="F12" s="148"/>
      <c r="G12" s="148"/>
    </row>
    <row r="13" spans="1:7" ht="15.75" x14ac:dyDescent="0.25">
      <c r="A13" s="147" t="s">
        <v>187</v>
      </c>
      <c r="B13" s="148"/>
      <c r="C13" s="148"/>
      <c r="D13" s="148"/>
      <c r="E13" s="148"/>
      <c r="F13" s="148"/>
      <c r="G13" s="148"/>
    </row>
    <row r="14" spans="1:7" ht="15.75" x14ac:dyDescent="0.25">
      <c r="A14" s="149" t="s">
        <v>186</v>
      </c>
      <c r="B14" s="150"/>
      <c r="C14" s="150"/>
      <c r="D14" s="150"/>
      <c r="E14" s="150"/>
      <c r="F14" s="150"/>
      <c r="G14" s="150"/>
    </row>
  </sheetData>
  <mergeCells count="3">
    <mergeCell ref="A12:G12"/>
    <mergeCell ref="A13:G13"/>
    <mergeCell ref="A14:G1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9"/>
  <sheetViews>
    <sheetView topLeftCell="A78" workbookViewId="0">
      <selection activeCell="G54" sqref="E39:G54"/>
    </sheetView>
  </sheetViews>
  <sheetFormatPr defaultColWidth="8.85546875" defaultRowHeight="15" x14ac:dyDescent="0.25"/>
  <cols>
    <col min="1" max="1" width="24.42578125" style="40" customWidth="1"/>
    <col min="2" max="2" width="10.140625" style="40" customWidth="1"/>
    <col min="3" max="3" width="11.140625" style="40" customWidth="1"/>
    <col min="4" max="4" width="8.85546875" style="40"/>
    <col min="5" max="5" width="33.85546875" style="40" bestFit="1" customWidth="1"/>
    <col min="6" max="6" width="18.42578125" style="40" bestFit="1" customWidth="1"/>
    <col min="7" max="7" width="15.7109375" style="40" customWidth="1"/>
    <col min="8" max="8" width="8.85546875" style="40"/>
    <col min="9" max="9" width="28" style="40" bestFit="1" customWidth="1"/>
    <col min="10" max="16384" width="8.85546875" style="40"/>
  </cols>
  <sheetData>
    <row r="1" spans="1:10" ht="21" x14ac:dyDescent="0.35">
      <c r="A1" s="171" t="s">
        <v>207</v>
      </c>
      <c r="B1" s="171"/>
      <c r="C1" s="171"/>
      <c r="D1" s="171"/>
      <c r="E1" s="171"/>
      <c r="F1" s="171"/>
    </row>
    <row r="2" spans="1:10" ht="21" x14ac:dyDescent="0.35">
      <c r="A2" s="50" t="s">
        <v>135</v>
      </c>
      <c r="B2" s="50"/>
      <c r="F2" s="123"/>
    </row>
    <row r="3" spans="1:10" ht="21" x14ac:dyDescent="0.35">
      <c r="A3" s="40" t="s">
        <v>136</v>
      </c>
      <c r="F3" s="123"/>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208</v>
      </c>
      <c r="J6" s="44"/>
    </row>
    <row r="7" spans="1:10" x14ac:dyDescent="0.25">
      <c r="A7" s="42" t="s">
        <v>3</v>
      </c>
      <c r="B7" s="6">
        <v>99214</v>
      </c>
      <c r="C7" s="5">
        <f>B7/$B$9</f>
        <v>0.97544045933616486</v>
      </c>
      <c r="E7" s="42" t="s">
        <v>55</v>
      </c>
      <c r="F7" s="6">
        <v>43819</v>
      </c>
      <c r="G7" s="5">
        <f>F7/$F$9</f>
        <v>0.98642564495070006</v>
      </c>
      <c r="I7" s="42" t="s">
        <v>209</v>
      </c>
      <c r="J7" s="44"/>
    </row>
    <row r="8" spans="1:10" x14ac:dyDescent="0.25">
      <c r="A8" s="13" t="s">
        <v>4</v>
      </c>
      <c r="B8" s="14">
        <v>2498</v>
      </c>
      <c r="C8" s="15">
        <f>B8/$B$9</f>
        <v>2.4559540663835141E-2</v>
      </c>
      <c r="E8" s="13" t="s">
        <v>58</v>
      </c>
      <c r="F8" s="14">
        <v>603</v>
      </c>
      <c r="G8" s="15">
        <f>F8/$F$9</f>
        <v>1.3574355049299897E-2</v>
      </c>
      <c r="I8" s="42" t="s">
        <v>210</v>
      </c>
      <c r="J8" s="44"/>
    </row>
    <row r="9" spans="1:10" ht="15.75" thickBot="1" x14ac:dyDescent="0.3">
      <c r="A9" s="43" t="s">
        <v>5</v>
      </c>
      <c r="B9" s="3">
        <f>SUM(B7:B8)</f>
        <v>101712</v>
      </c>
      <c r="C9" s="2"/>
      <c r="E9" s="43" t="s">
        <v>5</v>
      </c>
      <c r="F9" s="3">
        <f>SUM(F7:F8)</f>
        <v>44422</v>
      </c>
      <c r="G9" s="2"/>
      <c r="I9" s="42" t="s">
        <v>211</v>
      </c>
      <c r="J9" s="44"/>
    </row>
    <row r="10" spans="1:10" x14ac:dyDescent="0.25">
      <c r="A10" s="40" t="s">
        <v>212</v>
      </c>
      <c r="E10" s="40" t="s">
        <v>148</v>
      </c>
      <c r="I10" s="42" t="s">
        <v>213</v>
      </c>
      <c r="J10" s="44"/>
    </row>
    <row r="11" spans="1:10" ht="15.75" thickBot="1" x14ac:dyDescent="0.3">
      <c r="I11" s="42" t="s">
        <v>214</v>
      </c>
      <c r="J11" s="44"/>
    </row>
    <row r="12" spans="1:10" ht="35.25" thickBot="1" x14ac:dyDescent="0.35">
      <c r="A12" s="158" t="s">
        <v>35</v>
      </c>
      <c r="B12" s="159"/>
      <c r="C12" s="160"/>
      <c r="E12" s="117" t="s">
        <v>56</v>
      </c>
      <c r="F12" s="118"/>
      <c r="G12" s="119"/>
      <c r="I12" s="42" t="s">
        <v>215</v>
      </c>
      <c r="J12" s="44"/>
    </row>
    <row r="13" spans="1:10" x14ac:dyDescent="0.25">
      <c r="A13" s="12" t="s">
        <v>6</v>
      </c>
      <c r="B13" s="4" t="s">
        <v>7</v>
      </c>
      <c r="C13" s="11" t="s">
        <v>2</v>
      </c>
      <c r="E13" s="12" t="s">
        <v>6</v>
      </c>
      <c r="F13" s="4" t="s">
        <v>7</v>
      </c>
      <c r="G13" s="11" t="s">
        <v>2</v>
      </c>
      <c r="I13" s="42" t="s">
        <v>216</v>
      </c>
      <c r="J13" s="44"/>
    </row>
    <row r="14" spans="1:10" x14ac:dyDescent="0.25">
      <c r="A14" s="42" t="s">
        <v>36</v>
      </c>
      <c r="B14" s="6">
        <v>6295</v>
      </c>
      <c r="C14" s="5">
        <f>B14/$B$21</f>
        <v>6.1890435740128993E-2</v>
      </c>
      <c r="E14" s="42" t="s">
        <v>36</v>
      </c>
      <c r="F14" s="6">
        <v>1120</v>
      </c>
      <c r="G14" s="5">
        <f t="shared" ref="G14:G19" si="0">F14/$F$20</f>
        <v>3.951174768926833E-2</v>
      </c>
      <c r="I14" s="42" t="s">
        <v>217</v>
      </c>
      <c r="J14" s="44"/>
    </row>
    <row r="15" spans="1:10" x14ac:dyDescent="0.25">
      <c r="A15" s="42" t="s">
        <v>37</v>
      </c>
      <c r="B15" s="6">
        <v>10066</v>
      </c>
      <c r="C15" s="5">
        <f t="shared" ref="C15:C20" si="1">B15/$B$21</f>
        <v>9.8965707094541444E-2</v>
      </c>
      <c r="E15" s="42" t="s">
        <v>37</v>
      </c>
      <c r="F15" s="6">
        <v>2102</v>
      </c>
      <c r="G15" s="5">
        <f t="shared" si="0"/>
        <v>7.4155083609680372E-2</v>
      </c>
      <c r="I15" s="42" t="s">
        <v>218</v>
      </c>
      <c r="J15" s="44"/>
    </row>
    <row r="16" spans="1:10" x14ac:dyDescent="0.25">
      <c r="A16" s="42" t="s">
        <v>38</v>
      </c>
      <c r="B16" s="6">
        <v>11933</v>
      </c>
      <c r="C16" s="5">
        <f t="shared" si="1"/>
        <v>0.11732145666194746</v>
      </c>
      <c r="E16" s="42" t="s">
        <v>38</v>
      </c>
      <c r="F16" s="6">
        <v>3210</v>
      </c>
      <c r="G16" s="5">
        <f t="shared" si="0"/>
        <v>0.11324349114513511</v>
      </c>
      <c r="I16" s="42" t="s">
        <v>219</v>
      </c>
      <c r="J16" s="44"/>
    </row>
    <row r="17" spans="1:10" x14ac:dyDescent="0.25">
      <c r="A17" s="42" t="s">
        <v>39</v>
      </c>
      <c r="B17" s="6">
        <v>14836</v>
      </c>
      <c r="C17" s="5">
        <f t="shared" si="1"/>
        <v>0.1458628283781658</v>
      </c>
      <c r="E17" s="42" t="s">
        <v>39</v>
      </c>
      <c r="F17" s="6">
        <v>3698</v>
      </c>
      <c r="G17" s="5">
        <f t="shared" si="0"/>
        <v>0.13045932406688773</v>
      </c>
      <c r="I17" s="42" t="s">
        <v>220</v>
      </c>
      <c r="J17" s="44"/>
    </row>
    <row r="18" spans="1:10" x14ac:dyDescent="0.25">
      <c r="A18" s="42" t="s">
        <v>40</v>
      </c>
      <c r="B18" s="6">
        <v>12585</v>
      </c>
      <c r="C18" s="5">
        <f t="shared" si="1"/>
        <v>0.12373171307220387</v>
      </c>
      <c r="E18" s="42" t="s">
        <v>40</v>
      </c>
      <c r="F18" s="6">
        <v>3605</v>
      </c>
      <c r="G18" s="5">
        <f t="shared" si="0"/>
        <v>0.12717843787483243</v>
      </c>
      <c r="I18" s="42" t="s">
        <v>221</v>
      </c>
      <c r="J18" s="44"/>
    </row>
    <row r="19" spans="1:10" x14ac:dyDescent="0.25">
      <c r="A19" s="42" t="s">
        <v>8</v>
      </c>
      <c r="B19" s="6">
        <v>45051</v>
      </c>
      <c r="C19" s="5">
        <f t="shared" si="1"/>
        <v>0.44292708824917415</v>
      </c>
      <c r="E19" s="13" t="s">
        <v>8</v>
      </c>
      <c r="F19" s="14">
        <v>14611</v>
      </c>
      <c r="G19" s="15">
        <f t="shared" si="0"/>
        <v>0.51545191561419601</v>
      </c>
      <c r="I19" s="42" t="s">
        <v>222</v>
      </c>
      <c r="J19" s="44"/>
    </row>
    <row r="20" spans="1:10" ht="15.75" thickBot="1" x14ac:dyDescent="0.3">
      <c r="A20" s="13" t="s">
        <v>9</v>
      </c>
      <c r="B20" s="14">
        <v>946</v>
      </c>
      <c r="C20" s="15">
        <f t="shared" si="1"/>
        <v>9.3007708038382892E-3</v>
      </c>
      <c r="E20" s="43" t="s">
        <v>5</v>
      </c>
      <c r="F20" s="3">
        <f>SUM(F14:F19)</f>
        <v>28346</v>
      </c>
      <c r="G20" s="2"/>
      <c r="I20" s="42" t="s">
        <v>223</v>
      </c>
      <c r="J20" s="44"/>
    </row>
    <row r="21" spans="1:10" ht="15.75" thickBot="1" x14ac:dyDescent="0.3">
      <c r="A21" s="43" t="s">
        <v>5</v>
      </c>
      <c r="B21" s="3">
        <f>SUM(B14:B20)</f>
        <v>101712</v>
      </c>
      <c r="C21" s="2"/>
      <c r="E21" s="55" t="s">
        <v>140</v>
      </c>
      <c r="I21" s="42" t="s">
        <v>224</v>
      </c>
      <c r="J21" s="44"/>
    </row>
    <row r="22" spans="1:10" ht="15.75" thickBot="1" x14ac:dyDescent="0.3">
      <c r="A22" s="40" t="s">
        <v>212</v>
      </c>
      <c r="E22" s="67"/>
      <c r="I22" s="42" t="s">
        <v>225</v>
      </c>
      <c r="J22" s="44"/>
    </row>
    <row r="23" spans="1:10" ht="52.5" thickBot="1" x14ac:dyDescent="0.35">
      <c r="E23" s="117" t="s">
        <v>57</v>
      </c>
      <c r="F23" s="118"/>
      <c r="G23" s="119"/>
      <c r="I23" s="42" t="s">
        <v>226</v>
      </c>
      <c r="J23" s="44"/>
    </row>
    <row r="24" spans="1:10" ht="18" thickBot="1" x14ac:dyDescent="0.35">
      <c r="A24" s="158" t="s">
        <v>10</v>
      </c>
      <c r="B24" s="159"/>
      <c r="C24" s="160"/>
      <c r="E24" s="12" t="s">
        <v>6</v>
      </c>
      <c r="F24" s="4" t="s">
        <v>7</v>
      </c>
      <c r="G24" s="11" t="s">
        <v>2</v>
      </c>
      <c r="I24" s="42" t="s">
        <v>227</v>
      </c>
      <c r="J24" s="44"/>
    </row>
    <row r="25" spans="1:10" x14ac:dyDescent="0.25">
      <c r="A25" s="12" t="s">
        <v>6</v>
      </c>
      <c r="B25" s="4" t="s">
        <v>7</v>
      </c>
      <c r="C25" s="11" t="s">
        <v>2</v>
      </c>
      <c r="E25" s="42" t="s">
        <v>36</v>
      </c>
      <c r="F25" s="6">
        <v>25</v>
      </c>
      <c r="G25" s="5">
        <f t="shared" ref="G25:G30" si="2">F25/$F$31</f>
        <v>8.5616438356164379E-2</v>
      </c>
      <c r="I25" s="42" t="s">
        <v>228</v>
      </c>
      <c r="J25" s="44"/>
    </row>
    <row r="26" spans="1:10" x14ac:dyDescent="0.25">
      <c r="A26" s="42" t="s">
        <v>36</v>
      </c>
      <c r="B26" s="6">
        <v>223</v>
      </c>
      <c r="C26" s="5">
        <f>B26/$B$33</f>
        <v>8.9271417133706968E-2</v>
      </c>
      <c r="E26" s="42" t="s">
        <v>37</v>
      </c>
      <c r="F26" s="6">
        <v>72</v>
      </c>
      <c r="G26" s="5">
        <f t="shared" si="2"/>
        <v>0.24657534246575341</v>
      </c>
      <c r="I26" s="42" t="s">
        <v>229</v>
      </c>
      <c r="J26" s="44"/>
    </row>
    <row r="27" spans="1:10" x14ac:dyDescent="0.25">
      <c r="A27" s="42" t="s">
        <v>37</v>
      </c>
      <c r="B27" s="6">
        <v>583</v>
      </c>
      <c r="C27" s="5">
        <f t="shared" ref="C27:C32" si="3">B27/$B$33</f>
        <v>0.23338670936749401</v>
      </c>
      <c r="E27" s="42" t="s">
        <v>38</v>
      </c>
      <c r="F27" s="6">
        <v>90</v>
      </c>
      <c r="G27" s="5">
        <f t="shared" si="2"/>
        <v>0.30821917808219179</v>
      </c>
      <c r="I27" s="42"/>
      <c r="J27" s="44"/>
    </row>
    <row r="28" spans="1:10" x14ac:dyDescent="0.25">
      <c r="A28" s="42" t="s">
        <v>38</v>
      </c>
      <c r="B28" s="6">
        <v>632</v>
      </c>
      <c r="C28" s="5">
        <f t="shared" si="3"/>
        <v>0.25300240192153722</v>
      </c>
      <c r="E28" s="42" t="s">
        <v>39</v>
      </c>
      <c r="F28" s="6">
        <v>14</v>
      </c>
      <c r="G28" s="5">
        <f t="shared" si="2"/>
        <v>4.7945205479452052E-2</v>
      </c>
      <c r="I28" s="42"/>
      <c r="J28" s="44"/>
    </row>
    <row r="29" spans="1:10" x14ac:dyDescent="0.25">
      <c r="A29" s="42" t="s">
        <v>39</v>
      </c>
      <c r="B29" s="6">
        <v>244</v>
      </c>
      <c r="C29" s="5">
        <f t="shared" si="3"/>
        <v>9.7678142514011204E-2</v>
      </c>
      <c r="E29" s="42" t="s">
        <v>40</v>
      </c>
      <c r="F29" s="6">
        <v>10</v>
      </c>
      <c r="G29" s="5">
        <f t="shared" si="2"/>
        <v>3.4246575342465752E-2</v>
      </c>
      <c r="I29" s="42"/>
      <c r="J29" s="44"/>
    </row>
    <row r="30" spans="1:10" x14ac:dyDescent="0.25">
      <c r="A30" s="42" t="s">
        <v>40</v>
      </c>
      <c r="B30" s="6">
        <v>190</v>
      </c>
      <c r="C30" s="5">
        <f t="shared" si="3"/>
        <v>7.6060848678943152E-2</v>
      </c>
      <c r="E30" s="13" t="s">
        <v>8</v>
      </c>
      <c r="F30" s="14">
        <v>81</v>
      </c>
      <c r="G30" s="15">
        <f t="shared" si="2"/>
        <v>0.2773972602739726</v>
      </c>
      <c r="I30" s="42"/>
      <c r="J30" s="44"/>
    </row>
    <row r="31" spans="1:10" ht="15.75" thickBot="1" x14ac:dyDescent="0.3">
      <c r="A31" s="42" t="s">
        <v>8</v>
      </c>
      <c r="B31" s="6">
        <v>593</v>
      </c>
      <c r="C31" s="5">
        <f t="shared" si="3"/>
        <v>0.23738991192954365</v>
      </c>
      <c r="E31" s="43" t="s">
        <v>5</v>
      </c>
      <c r="F31" s="3">
        <f>SUM(F25:F30)</f>
        <v>292</v>
      </c>
      <c r="G31" s="2"/>
      <c r="I31" s="43"/>
      <c r="J31" s="2"/>
    </row>
    <row r="32" spans="1:10" ht="15.75" thickBot="1" x14ac:dyDescent="0.3">
      <c r="A32" s="13" t="s">
        <v>9</v>
      </c>
      <c r="B32" s="14">
        <v>33</v>
      </c>
      <c r="C32" s="15">
        <f t="shared" si="3"/>
        <v>1.3210568454763811E-2</v>
      </c>
    </row>
    <row r="33" spans="1:7" ht="52.5" thickBot="1" x14ac:dyDescent="0.35">
      <c r="A33" s="43" t="s">
        <v>5</v>
      </c>
      <c r="B33" s="3">
        <f>SUM(B26:B32)</f>
        <v>2498</v>
      </c>
      <c r="C33" s="2"/>
      <c r="E33" s="117" t="s">
        <v>59</v>
      </c>
      <c r="F33" s="118"/>
      <c r="G33" s="119"/>
    </row>
    <row r="34" spans="1:7" ht="15.75" thickBot="1" x14ac:dyDescent="0.3">
      <c r="E34" s="12" t="s">
        <v>6</v>
      </c>
      <c r="F34" s="4" t="s">
        <v>7</v>
      </c>
      <c r="G34" s="11" t="s">
        <v>2</v>
      </c>
    </row>
    <row r="35" spans="1:7" ht="18" thickBot="1" x14ac:dyDescent="0.35">
      <c r="A35" s="186" t="s">
        <v>153</v>
      </c>
      <c r="B35" s="187"/>
      <c r="C35" s="188"/>
      <c r="E35" s="42" t="s">
        <v>36</v>
      </c>
      <c r="F35" s="6">
        <f>F25</f>
        <v>25</v>
      </c>
      <c r="G35" s="5">
        <f>F35/$F$37</f>
        <v>0.25773195876288657</v>
      </c>
    </row>
    <row r="36" spans="1:7" x14ac:dyDescent="0.25">
      <c r="A36" s="12" t="s">
        <v>0</v>
      </c>
      <c r="B36" s="4" t="s">
        <v>1</v>
      </c>
      <c r="C36" s="11" t="s">
        <v>2</v>
      </c>
      <c r="E36" s="13" t="s">
        <v>37</v>
      </c>
      <c r="F36" s="14">
        <f>F26</f>
        <v>72</v>
      </c>
      <c r="G36" s="15">
        <f>F36/$F$37</f>
        <v>0.74226804123711343</v>
      </c>
    </row>
    <row r="37" spans="1:7" ht="15.75" thickBot="1" x14ac:dyDescent="0.3">
      <c r="A37" s="42" t="s">
        <v>3</v>
      </c>
      <c r="B37" s="6">
        <v>6072</v>
      </c>
      <c r="C37" s="5">
        <v>0.96499999999999997</v>
      </c>
      <c r="E37" s="43" t="s">
        <v>5</v>
      </c>
      <c r="F37" s="3">
        <f>SUM(F35:F36)</f>
        <v>97</v>
      </c>
      <c r="G37" s="2"/>
    </row>
    <row r="38" spans="1:7" ht="15.75" thickBot="1" x14ac:dyDescent="0.3">
      <c r="A38" s="13" t="s">
        <v>4</v>
      </c>
      <c r="B38" s="14">
        <v>223</v>
      </c>
      <c r="C38" s="15">
        <v>3.5000000000000003E-2</v>
      </c>
    </row>
    <row r="39" spans="1:7" ht="52.5" thickBot="1" x14ac:dyDescent="0.35">
      <c r="A39" s="43" t="s">
        <v>5</v>
      </c>
      <c r="B39" s="3">
        <v>6295</v>
      </c>
      <c r="C39" s="48"/>
      <c r="E39" s="117" t="s">
        <v>60</v>
      </c>
      <c r="F39" s="118"/>
      <c r="G39" s="119"/>
    </row>
    <row r="40" spans="1:7" ht="15.75" thickBot="1" x14ac:dyDescent="0.3">
      <c r="E40" s="12" t="s">
        <v>12</v>
      </c>
      <c r="F40" s="4" t="s">
        <v>1</v>
      </c>
      <c r="G40" s="11" t="s">
        <v>2</v>
      </c>
    </row>
    <row r="41" spans="1:7" ht="18" thickBot="1" x14ac:dyDescent="0.35">
      <c r="A41" s="186" t="s">
        <v>154</v>
      </c>
      <c r="B41" s="187"/>
      <c r="C41" s="188"/>
      <c r="E41" s="42" t="s">
        <v>14</v>
      </c>
      <c r="F41" s="6">
        <v>160</v>
      </c>
      <c r="G41" s="5">
        <f>F41/$F$46</f>
        <v>0.54794520547945202</v>
      </c>
    </row>
    <row r="42" spans="1:7" x14ac:dyDescent="0.25">
      <c r="A42" s="12" t="s">
        <v>0</v>
      </c>
      <c r="B42" s="4" t="s">
        <v>1</v>
      </c>
      <c r="C42" s="11" t="s">
        <v>2</v>
      </c>
      <c r="E42" s="42" t="s">
        <v>15</v>
      </c>
      <c r="F42" s="6">
        <v>81</v>
      </c>
      <c r="G42" s="5">
        <f>F42/$F$46</f>
        <v>0.2773972602739726</v>
      </c>
    </row>
    <row r="43" spans="1:7" x14ac:dyDescent="0.25">
      <c r="A43" s="42" t="s">
        <v>3</v>
      </c>
      <c r="B43" s="6">
        <v>9483</v>
      </c>
      <c r="C43" s="5">
        <v>0.94199999999999995</v>
      </c>
      <c r="E43" s="42" t="s">
        <v>13</v>
      </c>
      <c r="F43" s="6">
        <v>25</v>
      </c>
      <c r="G43" s="5">
        <f>F43/$F$46</f>
        <v>8.5616438356164379E-2</v>
      </c>
    </row>
    <row r="44" spans="1:7" x14ac:dyDescent="0.25">
      <c r="A44" s="13" t="s">
        <v>4</v>
      </c>
      <c r="B44" s="14">
        <v>583</v>
      </c>
      <c r="C44" s="15">
        <v>5.8000000000000003E-2</v>
      </c>
      <c r="E44" s="42" t="s">
        <v>110</v>
      </c>
      <c r="F44" s="6">
        <v>14</v>
      </c>
      <c r="G44" s="5">
        <f>F44/$F$46</f>
        <v>4.7945205479452052E-2</v>
      </c>
    </row>
    <row r="45" spans="1:7" ht="15.75" thickBot="1" x14ac:dyDescent="0.3">
      <c r="A45" s="43" t="s">
        <v>5</v>
      </c>
      <c r="B45" s="3">
        <v>10066</v>
      </c>
      <c r="C45" s="2"/>
      <c r="E45" s="13" t="s">
        <v>20</v>
      </c>
      <c r="F45" s="14">
        <v>12</v>
      </c>
      <c r="G45" s="15">
        <f>F45/$F$46</f>
        <v>4.1095890410958902E-2</v>
      </c>
    </row>
    <row r="46" spans="1:7" ht="15.75" thickBot="1" x14ac:dyDescent="0.3">
      <c r="E46" s="43" t="s">
        <v>5</v>
      </c>
      <c r="F46" s="3">
        <f>SUM(F41:F45)</f>
        <v>292</v>
      </c>
      <c r="G46" s="2"/>
    </row>
    <row r="47" spans="1:7" ht="18" thickBot="1" x14ac:dyDescent="0.35">
      <c r="A47" s="154" t="s">
        <v>41</v>
      </c>
      <c r="B47" s="155"/>
      <c r="C47" s="156"/>
      <c r="E47" s="56" t="s">
        <v>141</v>
      </c>
    </row>
    <row r="48" spans="1:7" ht="15.75" thickBot="1" x14ac:dyDescent="0.3">
      <c r="A48" s="12" t="s">
        <v>6</v>
      </c>
      <c r="B48" s="4" t="s">
        <v>7</v>
      </c>
      <c r="C48" s="11" t="s">
        <v>2</v>
      </c>
      <c r="E48" s="57"/>
    </row>
    <row r="49" spans="1:52" ht="69.75" thickBot="1" x14ac:dyDescent="0.35">
      <c r="A49" s="42" t="s">
        <v>36</v>
      </c>
      <c r="B49" s="6">
        <f>B26</f>
        <v>223</v>
      </c>
      <c r="C49" s="5">
        <f>B49/$B$51</f>
        <v>0.27667493796526055</v>
      </c>
      <c r="E49" s="117" t="s">
        <v>61</v>
      </c>
      <c r="F49" s="118"/>
      <c r="G49" s="119"/>
    </row>
    <row r="50" spans="1:52" x14ac:dyDescent="0.25">
      <c r="A50" s="13" t="s">
        <v>37</v>
      </c>
      <c r="B50" s="14">
        <f>B27</f>
        <v>583</v>
      </c>
      <c r="C50" s="15">
        <f>B50/$B$51</f>
        <v>0.72332506203473945</v>
      </c>
      <c r="E50" s="12" t="s">
        <v>12</v>
      </c>
      <c r="F50" s="4" t="s">
        <v>1</v>
      </c>
      <c r="G50" s="11" t="s">
        <v>2</v>
      </c>
    </row>
    <row r="51" spans="1:52" ht="15.75" thickBot="1" x14ac:dyDescent="0.3">
      <c r="A51" s="43" t="s">
        <v>5</v>
      </c>
      <c r="B51" s="3">
        <f>SUM(B49:B50)</f>
        <v>806</v>
      </c>
      <c r="C51" s="2"/>
      <c r="E51" s="42" t="s">
        <v>14</v>
      </c>
      <c r="F51" s="6">
        <v>60</v>
      </c>
      <c r="G51" s="5">
        <f>F51/$F$54</f>
        <v>0.61855670103092786</v>
      </c>
    </row>
    <row r="52" spans="1:52" s="41" customFormat="1" ht="15.75" thickBot="1" x14ac:dyDescent="0.3">
      <c r="A52" s="40"/>
      <c r="B52" s="40"/>
      <c r="C52" s="40"/>
      <c r="D52" s="40"/>
      <c r="E52" s="42" t="s">
        <v>13</v>
      </c>
      <c r="F52" s="6">
        <v>25</v>
      </c>
      <c r="G52" s="5">
        <f>F52/$F$54</f>
        <v>0.25773195876288657</v>
      </c>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row>
    <row r="53" spans="1:52" ht="18" thickBot="1" x14ac:dyDescent="0.35">
      <c r="A53" s="120" t="s">
        <v>44</v>
      </c>
      <c r="B53" s="121"/>
      <c r="C53" s="122"/>
      <c r="E53" s="13" t="s">
        <v>20</v>
      </c>
      <c r="F53" s="14">
        <v>12</v>
      </c>
      <c r="G53" s="15">
        <f>F53/$F$54</f>
        <v>0.12371134020618557</v>
      </c>
    </row>
    <row r="54" spans="1:52" ht="15.75" thickBot="1" x14ac:dyDescent="0.3">
      <c r="A54" s="12" t="s">
        <v>45</v>
      </c>
      <c r="B54" s="4" t="s">
        <v>7</v>
      </c>
      <c r="C54" s="11" t="s">
        <v>2</v>
      </c>
      <c r="E54" s="43" t="s">
        <v>5</v>
      </c>
      <c r="F54" s="3">
        <f>SUM(F51:F53)</f>
        <v>97</v>
      </c>
      <c r="G54" s="2"/>
    </row>
    <row r="55" spans="1:52" x14ac:dyDescent="0.25">
      <c r="A55" s="42" t="s">
        <v>46</v>
      </c>
      <c r="B55" s="6">
        <v>224</v>
      </c>
      <c r="C55" s="5">
        <f t="shared" ref="C55:C61" si="4">B55/$B$62</f>
        <v>8.9671737389911924E-2</v>
      </c>
      <c r="E55" s="58" t="s">
        <v>141</v>
      </c>
    </row>
    <row r="56" spans="1:52" ht="32.25" customHeight="1" x14ac:dyDescent="0.25">
      <c r="A56" s="42" t="s">
        <v>47</v>
      </c>
      <c r="B56" s="6">
        <v>202</v>
      </c>
      <c r="C56" s="5">
        <f t="shared" si="4"/>
        <v>8.0864691753402718E-2</v>
      </c>
    </row>
    <row r="57" spans="1:52" x14ac:dyDescent="0.25">
      <c r="A57" s="42" t="s">
        <v>48</v>
      </c>
      <c r="B57" s="6">
        <v>344</v>
      </c>
      <c r="C57" s="5">
        <f t="shared" si="4"/>
        <v>0.13771016813450759</v>
      </c>
      <c r="E57" s="40" t="s">
        <v>142</v>
      </c>
    </row>
    <row r="58" spans="1:52" x14ac:dyDescent="0.25">
      <c r="A58" s="42" t="s">
        <v>49</v>
      </c>
      <c r="B58" s="6">
        <v>291</v>
      </c>
      <c r="C58" s="5">
        <f t="shared" si="4"/>
        <v>0.11649319455564451</v>
      </c>
    </row>
    <row r="59" spans="1:52" x14ac:dyDescent="0.25">
      <c r="A59" s="42" t="s">
        <v>50</v>
      </c>
      <c r="B59" s="6">
        <v>485</v>
      </c>
      <c r="C59" s="5">
        <f t="shared" si="4"/>
        <v>0.19415532425940751</v>
      </c>
    </row>
    <row r="60" spans="1:52" x14ac:dyDescent="0.25">
      <c r="A60" s="42" t="s">
        <v>51</v>
      </c>
      <c r="B60" s="6">
        <v>505</v>
      </c>
      <c r="C60" s="5">
        <f t="shared" si="4"/>
        <v>0.20216172938350679</v>
      </c>
    </row>
    <row r="61" spans="1:52" x14ac:dyDescent="0.25">
      <c r="A61" s="13" t="s">
        <v>52</v>
      </c>
      <c r="B61" s="14">
        <v>447</v>
      </c>
      <c r="C61" s="15">
        <f t="shared" si="4"/>
        <v>0.17894315452361889</v>
      </c>
    </row>
    <row r="62" spans="1:52" ht="15.75" thickBot="1" x14ac:dyDescent="0.3">
      <c r="A62" s="43" t="s">
        <v>5</v>
      </c>
      <c r="B62" s="3">
        <f>SUM(B55:B61)</f>
        <v>2498</v>
      </c>
      <c r="C62" s="2"/>
    </row>
    <row r="63" spans="1:52" ht="15.75" thickBot="1" x14ac:dyDescent="0.3"/>
    <row r="64" spans="1:52" ht="52.5" thickBot="1" x14ac:dyDescent="0.35">
      <c r="A64" s="117" t="s">
        <v>53</v>
      </c>
      <c r="B64" s="118"/>
      <c r="C64" s="119"/>
    </row>
    <row r="65" spans="1:4" x14ac:dyDescent="0.25">
      <c r="A65" s="12" t="s">
        <v>45</v>
      </c>
      <c r="B65" s="4" t="s">
        <v>7</v>
      </c>
      <c r="C65" s="11" t="s">
        <v>2</v>
      </c>
    </row>
    <row r="66" spans="1:4" x14ac:dyDescent="0.25">
      <c r="A66" s="42" t="s">
        <v>46</v>
      </c>
      <c r="B66" s="6">
        <v>22</v>
      </c>
      <c r="C66" s="5">
        <f t="shared" ref="C66:C72" si="5">B66/$B$73</f>
        <v>2.729528535980149E-2</v>
      </c>
      <c r="D66" s="41"/>
    </row>
    <row r="67" spans="1:4" x14ac:dyDescent="0.25">
      <c r="A67" s="42" t="s">
        <v>47</v>
      </c>
      <c r="B67" s="6">
        <v>97</v>
      </c>
      <c r="C67" s="5">
        <f t="shared" si="5"/>
        <v>0.12034739454094293</v>
      </c>
    </row>
    <row r="68" spans="1:4" x14ac:dyDescent="0.25">
      <c r="A68" s="42" t="s">
        <v>48</v>
      </c>
      <c r="B68" s="6">
        <v>135</v>
      </c>
      <c r="C68" s="5">
        <f t="shared" si="5"/>
        <v>0.16749379652605459</v>
      </c>
    </row>
    <row r="69" spans="1:4" x14ac:dyDescent="0.25">
      <c r="A69" s="42" t="s">
        <v>49</v>
      </c>
      <c r="B69" s="6">
        <v>53</v>
      </c>
      <c r="C69" s="5">
        <f t="shared" si="5"/>
        <v>6.5756823821339946E-2</v>
      </c>
    </row>
    <row r="70" spans="1:4" x14ac:dyDescent="0.25">
      <c r="A70" s="42" t="s">
        <v>50</v>
      </c>
      <c r="B70" s="6">
        <v>252</v>
      </c>
      <c r="C70" s="5">
        <f t="shared" si="5"/>
        <v>0.31265508684863524</v>
      </c>
    </row>
    <row r="71" spans="1:4" x14ac:dyDescent="0.25">
      <c r="A71" s="42" t="s">
        <v>51</v>
      </c>
      <c r="B71" s="6">
        <v>125</v>
      </c>
      <c r="C71" s="5">
        <f t="shared" si="5"/>
        <v>0.15508684863523572</v>
      </c>
    </row>
    <row r="72" spans="1:4" x14ac:dyDescent="0.25">
      <c r="A72" s="13" t="s">
        <v>52</v>
      </c>
      <c r="B72" s="14">
        <v>122</v>
      </c>
      <c r="C72" s="15">
        <f t="shared" si="5"/>
        <v>0.15136476426799009</v>
      </c>
    </row>
    <row r="73" spans="1:4" ht="15.75" thickBot="1" x14ac:dyDescent="0.3">
      <c r="A73" s="43" t="s">
        <v>5</v>
      </c>
      <c r="B73" s="3">
        <f>SUM(B66:B72)</f>
        <v>806</v>
      </c>
      <c r="C73" s="2"/>
    </row>
    <row r="74" spans="1:4" ht="15.75" thickBot="1" x14ac:dyDescent="0.3"/>
    <row r="75" spans="1:4" ht="18" thickBot="1" x14ac:dyDescent="0.35">
      <c r="A75" s="158" t="s">
        <v>11</v>
      </c>
      <c r="B75" s="159"/>
      <c r="C75" s="160"/>
    </row>
    <row r="76" spans="1:4" x14ac:dyDescent="0.25">
      <c r="A76" s="12" t="s">
        <v>12</v>
      </c>
      <c r="B76" s="4" t="s">
        <v>1</v>
      </c>
      <c r="C76" s="11" t="s">
        <v>2</v>
      </c>
    </row>
    <row r="77" spans="1:4" x14ac:dyDescent="0.25">
      <c r="A77" s="18" t="s">
        <v>14</v>
      </c>
      <c r="B77" s="6">
        <v>866</v>
      </c>
      <c r="C77" s="5">
        <f t="shared" ref="C77:C87" si="6">B77/$B$88</f>
        <v>0.3466773418734988</v>
      </c>
    </row>
    <row r="78" spans="1:4" x14ac:dyDescent="0.25">
      <c r="A78" s="18" t="s">
        <v>20</v>
      </c>
      <c r="B78" s="6">
        <v>424</v>
      </c>
      <c r="C78" s="5">
        <f t="shared" si="6"/>
        <v>0.16973578863090472</v>
      </c>
    </row>
    <row r="79" spans="1:4" x14ac:dyDescent="0.25">
      <c r="A79" s="18" t="s">
        <v>13</v>
      </c>
      <c r="B79" s="6">
        <v>406</v>
      </c>
      <c r="C79" s="5">
        <f t="shared" si="6"/>
        <v>0.16253002401921537</v>
      </c>
    </row>
    <row r="80" spans="1:4" x14ac:dyDescent="0.25">
      <c r="A80" s="18" t="s">
        <v>19</v>
      </c>
      <c r="B80" s="6">
        <v>206</v>
      </c>
      <c r="C80" s="5">
        <f t="shared" si="6"/>
        <v>8.2465972778222582E-2</v>
      </c>
    </row>
    <row r="81" spans="1:6" x14ac:dyDescent="0.25">
      <c r="A81" s="18" t="s">
        <v>15</v>
      </c>
      <c r="B81" s="6">
        <v>188</v>
      </c>
      <c r="C81" s="5">
        <f t="shared" si="6"/>
        <v>7.5260208166533227E-2</v>
      </c>
    </row>
    <row r="82" spans="1:6" x14ac:dyDescent="0.25">
      <c r="A82" s="18" t="s">
        <v>26</v>
      </c>
      <c r="B82" s="6">
        <v>49</v>
      </c>
      <c r="C82" s="5">
        <f t="shared" si="6"/>
        <v>1.9615692554043235E-2</v>
      </c>
    </row>
    <row r="83" spans="1:6" x14ac:dyDescent="0.25">
      <c r="A83" s="18" t="s">
        <v>25</v>
      </c>
      <c r="B83" s="6">
        <v>44</v>
      </c>
      <c r="C83" s="5">
        <f t="shared" si="6"/>
        <v>1.7614091273018415E-2</v>
      </c>
    </row>
    <row r="84" spans="1:6" x14ac:dyDescent="0.25">
      <c r="A84" s="18" t="s">
        <v>22</v>
      </c>
      <c r="B84" s="6">
        <v>41</v>
      </c>
      <c r="C84" s="5">
        <f t="shared" si="6"/>
        <v>1.6413130504403524E-2</v>
      </c>
    </row>
    <row r="85" spans="1:6" x14ac:dyDescent="0.25">
      <c r="A85" s="18" t="s">
        <v>110</v>
      </c>
      <c r="B85" s="6">
        <v>41</v>
      </c>
      <c r="C85" s="5">
        <f t="shared" si="6"/>
        <v>1.6413130504403524E-2</v>
      </c>
    </row>
    <row r="86" spans="1:6" x14ac:dyDescent="0.25">
      <c r="A86" s="18" t="s">
        <v>23</v>
      </c>
      <c r="B86" s="6">
        <v>38</v>
      </c>
      <c r="C86" s="5">
        <f t="shared" si="6"/>
        <v>1.5212169735788631E-2</v>
      </c>
    </row>
    <row r="87" spans="1:6" x14ac:dyDescent="0.25">
      <c r="A87" s="19" t="s">
        <v>33</v>
      </c>
      <c r="B87" s="14">
        <v>195</v>
      </c>
      <c r="C87" s="15">
        <f t="shared" si="6"/>
        <v>7.8062449959967972E-2</v>
      </c>
    </row>
    <row r="88" spans="1:6" ht="15.75" thickBot="1" x14ac:dyDescent="0.3">
      <c r="A88" s="43" t="s">
        <v>5</v>
      </c>
      <c r="B88" s="3">
        <f>SUM(B77:B87)</f>
        <v>2498</v>
      </c>
      <c r="C88" s="2"/>
    </row>
    <row r="89" spans="1:6" ht="15.75" thickBot="1" x14ac:dyDescent="0.3"/>
    <row r="90" spans="1:6" ht="52.5" thickBot="1" x14ac:dyDescent="0.35">
      <c r="A90" s="117" t="s">
        <v>42</v>
      </c>
      <c r="B90" s="118"/>
      <c r="C90" s="119"/>
    </row>
    <row r="91" spans="1:6" x14ac:dyDescent="0.25">
      <c r="A91" s="12" t="s">
        <v>12</v>
      </c>
      <c r="B91" s="4" t="s">
        <v>1</v>
      </c>
      <c r="C91" s="11" t="s">
        <v>2</v>
      </c>
    </row>
    <row r="92" spans="1:6" x14ac:dyDescent="0.25">
      <c r="A92" s="42" t="s">
        <v>14</v>
      </c>
      <c r="B92" s="6">
        <v>424</v>
      </c>
      <c r="C92" s="5">
        <f t="shared" ref="C92:C98" si="7">B92/$B$99</f>
        <v>0.52605459057071957</v>
      </c>
    </row>
    <row r="93" spans="1:6" x14ac:dyDescent="0.25">
      <c r="A93" s="42" t="s">
        <v>20</v>
      </c>
      <c r="B93" s="6">
        <v>165</v>
      </c>
      <c r="C93" s="5">
        <f t="shared" si="7"/>
        <v>0.20471464019851116</v>
      </c>
    </row>
    <row r="94" spans="1:6" x14ac:dyDescent="0.25">
      <c r="A94" s="42" t="s">
        <v>13</v>
      </c>
      <c r="B94" s="6">
        <v>148</v>
      </c>
      <c r="C94" s="5">
        <f t="shared" si="7"/>
        <v>0.18362282878411912</v>
      </c>
      <c r="F94" s="51"/>
    </row>
    <row r="95" spans="1:6" x14ac:dyDescent="0.25">
      <c r="A95" s="42" t="s">
        <v>30</v>
      </c>
      <c r="B95" s="6">
        <v>25</v>
      </c>
      <c r="C95" s="5">
        <f t="shared" si="7"/>
        <v>3.1017369727047148E-2</v>
      </c>
      <c r="F95" s="54"/>
    </row>
    <row r="96" spans="1:6" x14ac:dyDescent="0.25">
      <c r="A96" s="42" t="s">
        <v>17</v>
      </c>
      <c r="B96" s="6">
        <v>22</v>
      </c>
      <c r="C96" s="5">
        <f t="shared" si="7"/>
        <v>2.729528535980149E-2</v>
      </c>
      <c r="F96" s="54"/>
    </row>
    <row r="97" spans="1:5" x14ac:dyDescent="0.25">
      <c r="A97" s="42" t="s">
        <v>29</v>
      </c>
      <c r="B97" s="6">
        <v>21</v>
      </c>
      <c r="C97" s="5">
        <f t="shared" si="7"/>
        <v>2.6054590570719603E-2</v>
      </c>
    </row>
    <row r="98" spans="1:5" x14ac:dyDescent="0.25">
      <c r="A98" s="13" t="s">
        <v>130</v>
      </c>
      <c r="B98" s="14">
        <v>1</v>
      </c>
      <c r="C98" s="15">
        <f t="shared" si="7"/>
        <v>1.2406947890818859E-3</v>
      </c>
    </row>
    <row r="99" spans="1:5" ht="15.75" thickBot="1" x14ac:dyDescent="0.3">
      <c r="A99" s="43" t="s">
        <v>5</v>
      </c>
      <c r="B99" s="3">
        <f>SUM(B92:B98)</f>
        <v>806</v>
      </c>
      <c r="C99" s="2"/>
    </row>
    <row r="100" spans="1:5" x14ac:dyDescent="0.25">
      <c r="A100" s="49"/>
      <c r="B100" s="6"/>
      <c r="C100" s="49"/>
    </row>
    <row r="101" spans="1:5" x14ac:dyDescent="0.25">
      <c r="A101" s="51" t="s">
        <v>137</v>
      </c>
      <c r="B101" s="51"/>
      <c r="C101" s="51"/>
      <c r="D101" s="51"/>
    </row>
    <row r="102" spans="1:5" x14ac:dyDescent="0.25">
      <c r="A102" s="54" t="s">
        <v>138</v>
      </c>
      <c r="B102" s="54"/>
      <c r="C102" s="54"/>
      <c r="D102" s="54"/>
    </row>
    <row r="103" spans="1:5" x14ac:dyDescent="0.25">
      <c r="A103" s="54" t="s">
        <v>139</v>
      </c>
      <c r="B103" s="54"/>
      <c r="C103" s="54"/>
      <c r="D103" s="54"/>
    </row>
    <row r="108" spans="1:5" x14ac:dyDescent="0.25">
      <c r="E108" s="51"/>
    </row>
    <row r="109" spans="1:5" x14ac:dyDescent="0.25">
      <c r="E109" s="54"/>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7"/>
  <sheetViews>
    <sheetView topLeftCell="A87" workbookViewId="0">
      <selection activeCell="E39" sqref="E39:F64"/>
    </sheetView>
  </sheetViews>
  <sheetFormatPr defaultColWidth="8.85546875" defaultRowHeight="15" x14ac:dyDescent="0.25"/>
  <cols>
    <col min="1" max="1" width="24.7109375" style="40" customWidth="1"/>
    <col min="2" max="2" width="10.7109375" style="40" bestFit="1" customWidth="1"/>
    <col min="3" max="3" width="10.85546875" style="40" customWidth="1"/>
    <col min="4" max="4" width="8.85546875" style="40"/>
    <col min="5" max="5" width="33.85546875" style="40" bestFit="1" customWidth="1"/>
    <col min="6" max="6" width="18.42578125" style="40" bestFit="1" customWidth="1"/>
    <col min="7" max="7" width="14.7109375" style="40" customWidth="1"/>
    <col min="8" max="8" width="8.85546875" style="40"/>
    <col min="9" max="9" width="27.28515625" style="40" bestFit="1" customWidth="1"/>
    <col min="10" max="16384" width="8.85546875" style="40"/>
  </cols>
  <sheetData>
    <row r="1" spans="1:10" ht="21" x14ac:dyDescent="0.35">
      <c r="A1" s="171" t="s">
        <v>230</v>
      </c>
      <c r="B1" s="171"/>
      <c r="C1" s="171"/>
      <c r="D1" s="171"/>
      <c r="E1" s="171"/>
      <c r="F1" s="171"/>
    </row>
    <row r="2" spans="1:10" x14ac:dyDescent="0.25">
      <c r="A2" s="50" t="s">
        <v>135</v>
      </c>
      <c r="B2" s="50"/>
    </row>
    <row r="3" spans="1:10" x14ac:dyDescent="0.25">
      <c r="A3" s="40" t="s">
        <v>136</v>
      </c>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231</v>
      </c>
      <c r="J6" s="44"/>
    </row>
    <row r="7" spans="1:10" x14ac:dyDescent="0.25">
      <c r="A7" s="42" t="s">
        <v>3</v>
      </c>
      <c r="B7" s="6">
        <v>103316</v>
      </c>
      <c r="C7" s="5">
        <f>B7/$B$9</f>
        <v>0.94168474397068747</v>
      </c>
      <c r="E7" s="42" t="s">
        <v>55</v>
      </c>
      <c r="F7" s="6">
        <v>42180</v>
      </c>
      <c r="G7" s="5">
        <f>F7/$F$9</f>
        <v>0.96440085053844571</v>
      </c>
      <c r="I7" s="42" t="s">
        <v>232</v>
      </c>
      <c r="J7" s="44"/>
    </row>
    <row r="8" spans="1:10" x14ac:dyDescent="0.25">
      <c r="A8" s="13" t="s">
        <v>4</v>
      </c>
      <c r="B8" s="14">
        <v>6398</v>
      </c>
      <c r="C8" s="15">
        <f>B8/$B$9</f>
        <v>5.8315256029312576E-2</v>
      </c>
      <c r="E8" s="13" t="s">
        <v>58</v>
      </c>
      <c r="F8" s="14">
        <v>1557</v>
      </c>
      <c r="G8" s="15">
        <f>F8/$F$9</f>
        <v>3.5599149461554291E-2</v>
      </c>
      <c r="I8" s="42" t="s">
        <v>233</v>
      </c>
      <c r="J8" s="44"/>
    </row>
    <row r="9" spans="1:10" ht="15.75" thickBot="1" x14ac:dyDescent="0.3">
      <c r="A9" s="43" t="s">
        <v>5</v>
      </c>
      <c r="B9" s="3">
        <f>SUM(B7:B8)</f>
        <v>109714</v>
      </c>
      <c r="C9" s="2"/>
      <c r="E9" s="43" t="s">
        <v>5</v>
      </c>
      <c r="F9" s="3">
        <f>SUM(F7:F8)</f>
        <v>43737</v>
      </c>
      <c r="G9" s="2"/>
      <c r="I9" s="42" t="s">
        <v>234</v>
      </c>
      <c r="J9" s="44"/>
    </row>
    <row r="10" spans="1:10" x14ac:dyDescent="0.25">
      <c r="A10" s="40" t="s">
        <v>235</v>
      </c>
      <c r="E10" s="40" t="s">
        <v>148</v>
      </c>
      <c r="I10" s="42" t="s">
        <v>236</v>
      </c>
      <c r="J10" s="44"/>
    </row>
    <row r="11" spans="1:10" ht="15.75" thickBot="1" x14ac:dyDescent="0.3">
      <c r="I11" s="42" t="s">
        <v>237</v>
      </c>
      <c r="J11" s="44"/>
    </row>
    <row r="12" spans="1:10" ht="35.25" thickBot="1" x14ac:dyDescent="0.35">
      <c r="A12" s="158" t="s">
        <v>35</v>
      </c>
      <c r="B12" s="159"/>
      <c r="C12" s="160"/>
      <c r="E12" s="117" t="s">
        <v>56</v>
      </c>
      <c r="F12" s="118"/>
      <c r="G12" s="119"/>
      <c r="I12" s="42" t="s">
        <v>238</v>
      </c>
      <c r="J12" s="44"/>
    </row>
    <row r="13" spans="1:10" x14ac:dyDescent="0.25">
      <c r="A13" s="12" t="s">
        <v>6</v>
      </c>
      <c r="B13" s="4" t="s">
        <v>7</v>
      </c>
      <c r="C13" s="11" t="s">
        <v>2</v>
      </c>
      <c r="E13" s="12" t="s">
        <v>6</v>
      </c>
      <c r="F13" s="4" t="s">
        <v>7</v>
      </c>
      <c r="G13" s="11" t="s">
        <v>2</v>
      </c>
      <c r="I13" s="42" t="s">
        <v>239</v>
      </c>
      <c r="J13" s="44"/>
    </row>
    <row r="14" spans="1:10" x14ac:dyDescent="0.25">
      <c r="A14" s="42" t="s">
        <v>36</v>
      </c>
      <c r="B14" s="6">
        <v>6188</v>
      </c>
      <c r="C14" s="5">
        <f>B14/$B$21</f>
        <v>5.6401188544761838E-2</v>
      </c>
      <c r="E14" s="42" t="s">
        <v>36</v>
      </c>
      <c r="F14" s="6">
        <v>1298</v>
      </c>
      <c r="G14" s="5">
        <f t="shared" ref="G14:G19" si="0">F14/$F$20</f>
        <v>4.3299863228475163E-2</v>
      </c>
      <c r="I14" s="42" t="s">
        <v>240</v>
      </c>
      <c r="J14" s="44"/>
    </row>
    <row r="15" spans="1:10" x14ac:dyDescent="0.25">
      <c r="A15" s="42" t="s">
        <v>37</v>
      </c>
      <c r="B15" s="6">
        <v>9881</v>
      </c>
      <c r="C15" s="5">
        <f t="shared" ref="C15:C20" si="1">B15/$B$21</f>
        <v>9.0061432451647008E-2</v>
      </c>
      <c r="E15" s="42" t="s">
        <v>37</v>
      </c>
      <c r="F15" s="6">
        <v>2241</v>
      </c>
      <c r="G15" s="5">
        <f t="shared" si="0"/>
        <v>7.4757313940687867E-2</v>
      </c>
      <c r="I15" s="42" t="s">
        <v>241</v>
      </c>
      <c r="J15" s="44"/>
    </row>
    <row r="16" spans="1:10" x14ac:dyDescent="0.25">
      <c r="A16" s="42" t="s">
        <v>38</v>
      </c>
      <c r="B16" s="6">
        <v>14003</v>
      </c>
      <c r="C16" s="5">
        <f t="shared" si="1"/>
        <v>0.12763184279125728</v>
      </c>
      <c r="E16" s="42" t="s">
        <v>38</v>
      </c>
      <c r="F16" s="6">
        <v>3716</v>
      </c>
      <c r="G16" s="5">
        <f t="shared" si="0"/>
        <v>0.123961703973046</v>
      </c>
      <c r="I16" s="42" t="s">
        <v>242</v>
      </c>
      <c r="J16" s="44"/>
    </row>
    <row r="17" spans="1:10" x14ac:dyDescent="0.25">
      <c r="A17" s="42" t="s">
        <v>39</v>
      </c>
      <c r="B17" s="6">
        <v>14776</v>
      </c>
      <c r="C17" s="5">
        <f t="shared" si="1"/>
        <v>0.13467743405581786</v>
      </c>
      <c r="E17" s="42" t="s">
        <v>39</v>
      </c>
      <c r="F17" s="6">
        <v>4042</v>
      </c>
      <c r="G17" s="5">
        <f t="shared" si="0"/>
        <v>0.13483670814290957</v>
      </c>
      <c r="I17" s="42"/>
      <c r="J17" s="44"/>
    </row>
    <row r="18" spans="1:10" x14ac:dyDescent="0.25">
      <c r="A18" s="42" t="s">
        <v>40</v>
      </c>
      <c r="B18" s="6">
        <v>13793</v>
      </c>
      <c r="C18" s="5">
        <f t="shared" si="1"/>
        <v>0.12571777530670653</v>
      </c>
      <c r="E18" s="42" t="s">
        <v>40</v>
      </c>
      <c r="F18" s="6">
        <v>3899</v>
      </c>
      <c r="G18" s="5">
        <f t="shared" si="0"/>
        <v>0.13006638422790806</v>
      </c>
      <c r="I18" s="42"/>
      <c r="J18" s="44"/>
    </row>
    <row r="19" spans="1:10" x14ac:dyDescent="0.25">
      <c r="A19" s="42" t="s">
        <v>8</v>
      </c>
      <c r="B19" s="6">
        <v>47572</v>
      </c>
      <c r="C19" s="5">
        <f t="shared" si="1"/>
        <v>0.43360008750022788</v>
      </c>
      <c r="E19" s="13" t="s">
        <v>8</v>
      </c>
      <c r="F19" s="14">
        <v>14781</v>
      </c>
      <c r="G19" s="15">
        <f t="shared" si="0"/>
        <v>0.49307802648697335</v>
      </c>
      <c r="I19" s="42"/>
      <c r="J19" s="44"/>
    </row>
    <row r="20" spans="1:10" ht="15.75" thickBot="1" x14ac:dyDescent="0.3">
      <c r="A20" s="13" t="s">
        <v>9</v>
      </c>
      <c r="B20" s="14">
        <v>3501</v>
      </c>
      <c r="C20" s="15">
        <f t="shared" si="1"/>
        <v>3.1910239349581641E-2</v>
      </c>
      <c r="E20" s="43" t="s">
        <v>5</v>
      </c>
      <c r="F20" s="3">
        <f>SUM(F14:F19)</f>
        <v>29977</v>
      </c>
      <c r="G20" s="2"/>
      <c r="I20" s="42"/>
      <c r="J20" s="44"/>
    </row>
    <row r="21" spans="1:10" ht="15.75" thickBot="1" x14ac:dyDescent="0.3">
      <c r="A21" s="43" t="s">
        <v>5</v>
      </c>
      <c r="B21" s="3">
        <f>SUM(B14:B20)</f>
        <v>109714</v>
      </c>
      <c r="C21" s="2"/>
      <c r="E21" s="55" t="s">
        <v>140</v>
      </c>
      <c r="I21" s="42"/>
      <c r="J21" s="44"/>
    </row>
    <row r="22" spans="1:10" ht="15.75" thickBot="1" x14ac:dyDescent="0.3">
      <c r="A22" s="40" t="s">
        <v>235</v>
      </c>
      <c r="E22" s="67"/>
      <c r="I22" s="42"/>
      <c r="J22" s="44"/>
    </row>
    <row r="23" spans="1:10" ht="52.5" thickBot="1" x14ac:dyDescent="0.35">
      <c r="E23" s="117" t="s">
        <v>57</v>
      </c>
      <c r="F23" s="118"/>
      <c r="G23" s="119"/>
      <c r="I23" s="42"/>
      <c r="J23" s="44"/>
    </row>
    <row r="24" spans="1:10" ht="18" thickBot="1" x14ac:dyDescent="0.35">
      <c r="A24" s="158" t="s">
        <v>10</v>
      </c>
      <c r="B24" s="159"/>
      <c r="C24" s="160"/>
      <c r="E24" s="12" t="s">
        <v>6</v>
      </c>
      <c r="F24" s="4" t="s">
        <v>7</v>
      </c>
      <c r="G24" s="11" t="s">
        <v>2</v>
      </c>
      <c r="I24" s="42"/>
      <c r="J24" s="44"/>
    </row>
    <row r="25" spans="1:10" x14ac:dyDescent="0.25">
      <c r="A25" s="12" t="s">
        <v>6</v>
      </c>
      <c r="B25" s="4" t="s">
        <v>7</v>
      </c>
      <c r="C25" s="11" t="s">
        <v>2</v>
      </c>
      <c r="E25" s="42" t="s">
        <v>36</v>
      </c>
      <c r="F25" s="6">
        <v>234</v>
      </c>
      <c r="G25" s="5">
        <f t="shared" ref="G25:G30" si="2">F25/$F$31</f>
        <v>0.28398058252427183</v>
      </c>
      <c r="I25" s="42"/>
      <c r="J25" s="44"/>
    </row>
    <row r="26" spans="1:10" x14ac:dyDescent="0.25">
      <c r="A26" s="42" t="s">
        <v>36</v>
      </c>
      <c r="B26" s="6">
        <v>1030</v>
      </c>
      <c r="C26" s="5">
        <f>B26/$B$33</f>
        <v>0.1609878086902157</v>
      </c>
      <c r="E26" s="42" t="s">
        <v>37</v>
      </c>
      <c r="F26" s="6">
        <v>211</v>
      </c>
      <c r="G26" s="5">
        <f t="shared" si="2"/>
        <v>0.25606796116504854</v>
      </c>
      <c r="I26" s="42"/>
      <c r="J26" s="44"/>
    </row>
    <row r="27" spans="1:10" x14ac:dyDescent="0.25">
      <c r="A27" s="42" t="s">
        <v>37</v>
      </c>
      <c r="B27" s="6">
        <v>839</v>
      </c>
      <c r="C27" s="5">
        <f t="shared" ref="C27:C32" si="3">B27/$B$33</f>
        <v>0.13113472960300093</v>
      </c>
      <c r="E27" s="42" t="s">
        <v>38</v>
      </c>
      <c r="F27" s="6">
        <v>182</v>
      </c>
      <c r="G27" s="5">
        <f t="shared" si="2"/>
        <v>0.220873786407767</v>
      </c>
      <c r="I27" s="42"/>
      <c r="J27" s="44"/>
    </row>
    <row r="28" spans="1:10" x14ac:dyDescent="0.25">
      <c r="A28" s="42" t="s">
        <v>38</v>
      </c>
      <c r="B28" s="6">
        <v>1016</v>
      </c>
      <c r="C28" s="5">
        <f t="shared" si="3"/>
        <v>0.15879962488277588</v>
      </c>
      <c r="E28" s="42" t="s">
        <v>39</v>
      </c>
      <c r="F28" s="6">
        <v>98</v>
      </c>
      <c r="G28" s="5">
        <f t="shared" si="2"/>
        <v>0.11893203883495146</v>
      </c>
      <c r="I28" s="42"/>
      <c r="J28" s="44"/>
    </row>
    <row r="29" spans="1:10" x14ac:dyDescent="0.25">
      <c r="A29" s="42" t="s">
        <v>39</v>
      </c>
      <c r="B29" s="6">
        <v>1365</v>
      </c>
      <c r="C29" s="5">
        <f t="shared" si="3"/>
        <v>0.21334792122538293</v>
      </c>
      <c r="E29" s="42" t="s">
        <v>40</v>
      </c>
      <c r="F29" s="6">
        <v>19</v>
      </c>
      <c r="G29" s="5">
        <f t="shared" si="2"/>
        <v>2.3058252427184466E-2</v>
      </c>
      <c r="I29" s="42"/>
      <c r="J29" s="44"/>
    </row>
    <row r="30" spans="1:10" x14ac:dyDescent="0.25">
      <c r="A30" s="42" t="s">
        <v>40</v>
      </c>
      <c r="B30" s="6">
        <v>438</v>
      </c>
      <c r="C30" s="5">
        <f t="shared" si="3"/>
        <v>6.8458893404188814E-2</v>
      </c>
      <c r="E30" s="13" t="s">
        <v>8</v>
      </c>
      <c r="F30" s="14">
        <v>80</v>
      </c>
      <c r="G30" s="15">
        <f t="shared" si="2"/>
        <v>9.7087378640776698E-2</v>
      </c>
      <c r="I30" s="42"/>
      <c r="J30" s="44"/>
    </row>
    <row r="31" spans="1:10" ht="15.75" thickBot="1" x14ac:dyDescent="0.3">
      <c r="A31" s="42" t="s">
        <v>8</v>
      </c>
      <c r="B31" s="6">
        <v>1266</v>
      </c>
      <c r="C31" s="5">
        <f t="shared" si="3"/>
        <v>0.19787433572991561</v>
      </c>
      <c r="E31" s="43" t="s">
        <v>5</v>
      </c>
      <c r="F31" s="3">
        <f>SUM(F25:F30)</f>
        <v>824</v>
      </c>
      <c r="G31" s="2"/>
      <c r="I31" s="43"/>
      <c r="J31" s="2"/>
    </row>
    <row r="32" spans="1:10" ht="15.75" thickBot="1" x14ac:dyDescent="0.3">
      <c r="A32" s="13" t="s">
        <v>9</v>
      </c>
      <c r="B32" s="14">
        <v>444</v>
      </c>
      <c r="C32" s="15">
        <f t="shared" si="3"/>
        <v>6.9396686464520158E-2</v>
      </c>
    </row>
    <row r="33" spans="1:7" ht="52.5" thickBot="1" x14ac:dyDescent="0.35">
      <c r="A33" s="43" t="s">
        <v>5</v>
      </c>
      <c r="B33" s="3">
        <f>SUM(B26:B32)</f>
        <v>6398</v>
      </c>
      <c r="C33" s="2"/>
      <c r="E33" s="117" t="s">
        <v>59</v>
      </c>
      <c r="F33" s="118"/>
      <c r="G33" s="119"/>
    </row>
    <row r="34" spans="1:7" ht="15.75" thickBot="1" x14ac:dyDescent="0.3">
      <c r="E34" s="12" t="s">
        <v>6</v>
      </c>
      <c r="F34" s="4" t="s">
        <v>7</v>
      </c>
      <c r="G34" s="11" t="s">
        <v>2</v>
      </c>
    </row>
    <row r="35" spans="1:7" ht="18" thickBot="1" x14ac:dyDescent="0.35">
      <c r="A35" s="158" t="s">
        <v>158</v>
      </c>
      <c r="B35" s="159"/>
      <c r="C35" s="160"/>
      <c r="E35" s="42" t="s">
        <v>36</v>
      </c>
      <c r="F35" s="6">
        <f>F25</f>
        <v>234</v>
      </c>
      <c r="G35" s="5">
        <f>F35/$F$37</f>
        <v>0.52584269662921346</v>
      </c>
    </row>
    <row r="36" spans="1:7" x14ac:dyDescent="0.25">
      <c r="A36" s="12" t="s">
        <v>0</v>
      </c>
      <c r="B36" s="4" t="s">
        <v>1</v>
      </c>
      <c r="C36" s="11" t="s">
        <v>2</v>
      </c>
      <c r="E36" s="13" t="s">
        <v>37</v>
      </c>
      <c r="F36" s="14">
        <f>F26</f>
        <v>211</v>
      </c>
      <c r="G36" s="15">
        <f>F36/$F$37</f>
        <v>0.47415730337078654</v>
      </c>
    </row>
    <row r="37" spans="1:7" ht="15.75" thickBot="1" x14ac:dyDescent="0.3">
      <c r="A37" s="42" t="s">
        <v>3</v>
      </c>
      <c r="B37" s="6">
        <v>5158</v>
      </c>
      <c r="C37" s="5">
        <v>0.83399999999999996</v>
      </c>
      <c r="E37" s="43" t="s">
        <v>5</v>
      </c>
      <c r="F37" s="3">
        <f>SUM(F35:F36)</f>
        <v>445</v>
      </c>
      <c r="G37" s="2"/>
    </row>
    <row r="38" spans="1:7" ht="15.75" thickBot="1" x14ac:dyDescent="0.3">
      <c r="A38" s="13" t="s">
        <v>4</v>
      </c>
      <c r="B38" s="14">
        <v>1030</v>
      </c>
      <c r="C38" s="15">
        <v>0.16600000000000001</v>
      </c>
    </row>
    <row r="39" spans="1:7" ht="52.5" thickBot="1" x14ac:dyDescent="0.35">
      <c r="A39" s="43" t="s">
        <v>5</v>
      </c>
      <c r="B39" s="3">
        <v>6188</v>
      </c>
      <c r="C39" s="48"/>
      <c r="E39" s="117" t="s">
        <v>60</v>
      </c>
      <c r="F39" s="118"/>
      <c r="G39" s="119"/>
    </row>
    <row r="40" spans="1:7" ht="15.75" thickBot="1" x14ac:dyDescent="0.3">
      <c r="E40" s="12" t="s">
        <v>12</v>
      </c>
      <c r="F40" s="4" t="s">
        <v>1</v>
      </c>
      <c r="G40" s="11" t="s">
        <v>2</v>
      </c>
    </row>
    <row r="41" spans="1:7" ht="18" thickBot="1" x14ac:dyDescent="0.35">
      <c r="A41" s="158" t="s">
        <v>154</v>
      </c>
      <c r="B41" s="159"/>
      <c r="C41" s="160"/>
      <c r="E41" s="42" t="s">
        <v>14</v>
      </c>
      <c r="F41" s="6">
        <v>308</v>
      </c>
      <c r="G41" s="5">
        <f t="shared" ref="G41:G51" si="4">F41/$F$52</f>
        <v>0.37378640776699029</v>
      </c>
    </row>
    <row r="42" spans="1:7" x14ac:dyDescent="0.25">
      <c r="A42" s="12" t="s">
        <v>0</v>
      </c>
      <c r="B42" s="4" t="s">
        <v>1</v>
      </c>
      <c r="C42" s="11" t="s">
        <v>2</v>
      </c>
      <c r="E42" s="42" t="s">
        <v>13</v>
      </c>
      <c r="F42" s="6">
        <v>164</v>
      </c>
      <c r="G42" s="5">
        <f t="shared" si="4"/>
        <v>0.19902912621359223</v>
      </c>
    </row>
    <row r="43" spans="1:7" x14ac:dyDescent="0.25">
      <c r="A43" s="42" t="s">
        <v>3</v>
      </c>
      <c r="B43" s="6">
        <v>9042</v>
      </c>
      <c r="C43" s="5">
        <v>0.91500000000000004</v>
      </c>
      <c r="E43" s="42" t="s">
        <v>24</v>
      </c>
      <c r="F43" s="6">
        <v>140</v>
      </c>
      <c r="G43" s="5">
        <f t="shared" si="4"/>
        <v>0.16990291262135923</v>
      </c>
    </row>
    <row r="44" spans="1:7" x14ac:dyDescent="0.25">
      <c r="A44" s="13" t="s">
        <v>4</v>
      </c>
      <c r="B44" s="14">
        <v>839</v>
      </c>
      <c r="C44" s="15">
        <v>8.5000000000000006E-2</v>
      </c>
      <c r="E44" s="42" t="s">
        <v>26</v>
      </c>
      <c r="F44" s="6">
        <v>60</v>
      </c>
      <c r="G44" s="5">
        <f t="shared" si="4"/>
        <v>7.281553398058252E-2</v>
      </c>
    </row>
    <row r="45" spans="1:7" ht="15.75" thickBot="1" x14ac:dyDescent="0.3">
      <c r="A45" s="43" t="s">
        <v>5</v>
      </c>
      <c r="B45" s="3">
        <v>9881</v>
      </c>
      <c r="C45" s="2"/>
      <c r="E45" s="42" t="s">
        <v>18</v>
      </c>
      <c r="F45" s="6">
        <v>41</v>
      </c>
      <c r="G45" s="5">
        <f t="shared" si="4"/>
        <v>4.9757281553398057E-2</v>
      </c>
    </row>
    <row r="46" spans="1:7" ht="15.75" thickBot="1" x14ac:dyDescent="0.3">
      <c r="E46" s="42" t="s">
        <v>110</v>
      </c>
      <c r="F46" s="6">
        <v>26</v>
      </c>
      <c r="G46" s="5">
        <f t="shared" si="4"/>
        <v>3.1553398058252427E-2</v>
      </c>
    </row>
    <row r="47" spans="1:7" ht="18" thickBot="1" x14ac:dyDescent="0.35">
      <c r="A47" s="154" t="s">
        <v>41</v>
      </c>
      <c r="B47" s="155"/>
      <c r="C47" s="156"/>
      <c r="E47" s="42" t="s">
        <v>28</v>
      </c>
      <c r="F47" s="6">
        <v>23</v>
      </c>
      <c r="G47" s="5">
        <f t="shared" si="4"/>
        <v>2.7912621359223302E-2</v>
      </c>
    </row>
    <row r="48" spans="1:7" x14ac:dyDescent="0.25">
      <c r="A48" s="12" t="s">
        <v>6</v>
      </c>
      <c r="B48" s="4" t="s">
        <v>7</v>
      </c>
      <c r="C48" s="11" t="s">
        <v>2</v>
      </c>
      <c r="E48" s="42" t="s">
        <v>243</v>
      </c>
      <c r="F48" s="6">
        <v>18</v>
      </c>
      <c r="G48" s="5">
        <f t="shared" si="4"/>
        <v>2.1844660194174758E-2</v>
      </c>
    </row>
    <row r="49" spans="1:51" x14ac:dyDescent="0.25">
      <c r="A49" s="42" t="s">
        <v>36</v>
      </c>
      <c r="B49" s="6">
        <f>B26</f>
        <v>1030</v>
      </c>
      <c r="C49" s="5">
        <f>B49/$B$51</f>
        <v>0.55109684323167474</v>
      </c>
      <c r="E49" s="42" t="s">
        <v>128</v>
      </c>
      <c r="F49" s="6">
        <v>18</v>
      </c>
      <c r="G49" s="5">
        <f t="shared" si="4"/>
        <v>2.1844660194174758E-2</v>
      </c>
    </row>
    <row r="50" spans="1:51" x14ac:dyDescent="0.25">
      <c r="A50" s="13" t="s">
        <v>37</v>
      </c>
      <c r="B50" s="14">
        <f>B27</f>
        <v>839</v>
      </c>
      <c r="C50" s="15">
        <f>B50/$B$51</f>
        <v>0.44890315676832532</v>
      </c>
      <c r="E50" s="42" t="s">
        <v>133</v>
      </c>
      <c r="F50" s="6">
        <v>17</v>
      </c>
      <c r="G50" s="5">
        <f t="shared" si="4"/>
        <v>2.063106796116505E-2</v>
      </c>
    </row>
    <row r="51" spans="1:51" ht="15.75" thickBot="1" x14ac:dyDescent="0.3">
      <c r="A51" s="43" t="s">
        <v>5</v>
      </c>
      <c r="B51" s="3">
        <f>SUM(B49:B50)</f>
        <v>1869</v>
      </c>
      <c r="C51" s="2"/>
      <c r="E51" s="13" t="s">
        <v>17</v>
      </c>
      <c r="F51" s="14">
        <v>9</v>
      </c>
      <c r="G51" s="15">
        <f t="shared" si="4"/>
        <v>1.0922330097087379E-2</v>
      </c>
    </row>
    <row r="52" spans="1:51" s="41" customFormat="1" ht="15.75" thickBot="1" x14ac:dyDescent="0.3">
      <c r="A52" s="40"/>
      <c r="B52" s="40"/>
      <c r="C52" s="40"/>
      <c r="D52" s="40"/>
      <c r="E52" s="43" t="s">
        <v>5</v>
      </c>
      <c r="F52" s="3">
        <f>SUM(F41:F51)</f>
        <v>824</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row>
    <row r="53" spans="1:51" ht="18" thickBot="1" x14ac:dyDescent="0.35">
      <c r="A53" s="120" t="s">
        <v>44</v>
      </c>
      <c r="B53" s="121"/>
      <c r="C53" s="122"/>
      <c r="E53" s="56" t="s">
        <v>141</v>
      </c>
    </row>
    <row r="54" spans="1:51" ht="15.75" thickBot="1" x14ac:dyDescent="0.3">
      <c r="A54" s="12" t="s">
        <v>45</v>
      </c>
      <c r="B54" s="4" t="s">
        <v>7</v>
      </c>
      <c r="C54" s="11" t="s">
        <v>2</v>
      </c>
      <c r="D54" s="41"/>
      <c r="E54" s="57"/>
    </row>
    <row r="55" spans="1:51" ht="69.75" thickBot="1" x14ac:dyDescent="0.35">
      <c r="A55" s="42" t="s">
        <v>46</v>
      </c>
      <c r="B55" s="6">
        <v>416</v>
      </c>
      <c r="C55" s="5">
        <f t="shared" ref="C55:C61" si="5">B55/$B$62</f>
        <v>6.5020318849640518E-2</v>
      </c>
      <c r="E55" s="117" t="s">
        <v>61</v>
      </c>
      <c r="F55" s="118"/>
      <c r="G55" s="119"/>
    </row>
    <row r="56" spans="1:51" ht="32.25" customHeight="1" x14ac:dyDescent="0.25">
      <c r="A56" s="42" t="s">
        <v>47</v>
      </c>
      <c r="B56" s="6">
        <v>314</v>
      </c>
      <c r="C56" s="5">
        <f t="shared" si="5"/>
        <v>4.9077836824007501E-2</v>
      </c>
      <c r="E56" s="12" t="s">
        <v>12</v>
      </c>
      <c r="F56" s="4" t="s">
        <v>1</v>
      </c>
      <c r="G56" s="11" t="s">
        <v>2</v>
      </c>
    </row>
    <row r="57" spans="1:51" x14ac:dyDescent="0.25">
      <c r="A57" s="42" t="s">
        <v>48</v>
      </c>
      <c r="B57" s="6">
        <v>946</v>
      </c>
      <c r="C57" s="5">
        <f t="shared" si="5"/>
        <v>0.14785870584557675</v>
      </c>
      <c r="E57" s="42" t="s">
        <v>13</v>
      </c>
      <c r="F57" s="6">
        <v>138</v>
      </c>
      <c r="G57" s="5">
        <f t="shared" ref="G57:G63" si="6">F57/$F$64</f>
        <v>0.31011235955056182</v>
      </c>
    </row>
    <row r="58" spans="1:51" x14ac:dyDescent="0.25">
      <c r="A58" s="42" t="s">
        <v>49</v>
      </c>
      <c r="B58" s="6">
        <v>1526</v>
      </c>
      <c r="C58" s="5">
        <f t="shared" si="5"/>
        <v>0.23851203501094093</v>
      </c>
      <c r="E58" s="42" t="s">
        <v>24</v>
      </c>
      <c r="F58" s="6">
        <v>121</v>
      </c>
      <c r="G58" s="5">
        <f t="shared" si="6"/>
        <v>0.27191011235955054</v>
      </c>
    </row>
    <row r="59" spans="1:51" x14ac:dyDescent="0.25">
      <c r="A59" s="42" t="s">
        <v>50</v>
      </c>
      <c r="B59" s="6">
        <v>785</v>
      </c>
      <c r="C59" s="5">
        <f t="shared" si="5"/>
        <v>0.12269459206001876</v>
      </c>
      <c r="E59" s="42" t="s">
        <v>14</v>
      </c>
      <c r="F59" s="6">
        <v>70</v>
      </c>
      <c r="G59" s="5">
        <f t="shared" si="6"/>
        <v>0.15730337078651685</v>
      </c>
    </row>
    <row r="60" spans="1:51" x14ac:dyDescent="0.25">
      <c r="A60" s="42" t="s">
        <v>51</v>
      </c>
      <c r="B60" s="6">
        <v>1013</v>
      </c>
      <c r="C60" s="5">
        <f t="shared" si="5"/>
        <v>0.15833072835261019</v>
      </c>
      <c r="E60" s="42" t="s">
        <v>26</v>
      </c>
      <c r="F60" s="6">
        <v>44</v>
      </c>
      <c r="G60" s="5">
        <f t="shared" si="6"/>
        <v>9.8876404494382023E-2</v>
      </c>
    </row>
    <row r="61" spans="1:51" x14ac:dyDescent="0.25">
      <c r="A61" s="13" t="s">
        <v>52</v>
      </c>
      <c r="B61" s="14">
        <v>1398</v>
      </c>
      <c r="C61" s="15">
        <f t="shared" si="5"/>
        <v>0.21850578305720539</v>
      </c>
      <c r="E61" s="42" t="s">
        <v>18</v>
      </c>
      <c r="F61" s="6">
        <v>29</v>
      </c>
      <c r="G61" s="5">
        <f t="shared" si="6"/>
        <v>6.5168539325842698E-2</v>
      </c>
    </row>
    <row r="62" spans="1:51" ht="15.75" thickBot="1" x14ac:dyDescent="0.3">
      <c r="A62" s="43" t="s">
        <v>5</v>
      </c>
      <c r="B62" s="3">
        <f>SUM(B55:B61)</f>
        <v>6398</v>
      </c>
      <c r="C62" s="2"/>
      <c r="E62" s="42" t="s">
        <v>110</v>
      </c>
      <c r="F62" s="6">
        <v>26</v>
      </c>
      <c r="G62" s="5">
        <f t="shared" si="6"/>
        <v>5.8426966292134834E-2</v>
      </c>
    </row>
    <row r="63" spans="1:51" ht="15.75" thickBot="1" x14ac:dyDescent="0.3">
      <c r="E63" s="13" t="s">
        <v>133</v>
      </c>
      <c r="F63" s="14">
        <v>17</v>
      </c>
      <c r="G63" s="15">
        <f t="shared" si="6"/>
        <v>3.8202247191011236E-2</v>
      </c>
    </row>
    <row r="64" spans="1:51" ht="52.5" thickBot="1" x14ac:dyDescent="0.35">
      <c r="A64" s="117" t="s">
        <v>53</v>
      </c>
      <c r="B64" s="118"/>
      <c r="C64" s="119"/>
      <c r="E64" s="43" t="s">
        <v>5</v>
      </c>
      <c r="F64" s="3">
        <f>SUM(F57:F63)</f>
        <v>445</v>
      </c>
      <c r="G64" s="2"/>
    </row>
    <row r="65" spans="1:5" x14ac:dyDescent="0.25">
      <c r="A65" s="12" t="s">
        <v>45</v>
      </c>
      <c r="B65" s="4" t="s">
        <v>7</v>
      </c>
      <c r="C65" s="11" t="s">
        <v>2</v>
      </c>
      <c r="E65" s="40" t="s">
        <v>141</v>
      </c>
    </row>
    <row r="66" spans="1:5" x14ac:dyDescent="0.25">
      <c r="A66" s="42" t="s">
        <v>46</v>
      </c>
      <c r="B66" s="6">
        <v>33</v>
      </c>
      <c r="C66" s="5">
        <f t="shared" ref="C66:C72" si="7">B66/$B$73</f>
        <v>1.7656500802568219E-2</v>
      </c>
    </row>
    <row r="67" spans="1:5" x14ac:dyDescent="0.25">
      <c r="A67" s="42" t="s">
        <v>47</v>
      </c>
      <c r="B67" s="6">
        <v>104</v>
      </c>
      <c r="C67" s="5">
        <f t="shared" si="7"/>
        <v>5.5644729802033173E-2</v>
      </c>
      <c r="E67" s="40" t="s">
        <v>142</v>
      </c>
    </row>
    <row r="68" spans="1:5" x14ac:dyDescent="0.25">
      <c r="A68" s="42" t="s">
        <v>48</v>
      </c>
      <c r="B68" s="6">
        <v>363</v>
      </c>
      <c r="C68" s="5">
        <f t="shared" si="7"/>
        <v>0.1942215088282504</v>
      </c>
    </row>
    <row r="69" spans="1:5" x14ac:dyDescent="0.25">
      <c r="A69" s="42" t="s">
        <v>49</v>
      </c>
      <c r="B69" s="6">
        <v>414</v>
      </c>
      <c r="C69" s="5">
        <f t="shared" si="7"/>
        <v>0.22150882825040127</v>
      </c>
    </row>
    <row r="70" spans="1:5" x14ac:dyDescent="0.25">
      <c r="A70" s="42" t="s">
        <v>50</v>
      </c>
      <c r="B70" s="6">
        <v>251</v>
      </c>
      <c r="C70" s="5">
        <f t="shared" si="7"/>
        <v>0.13429641519529159</v>
      </c>
    </row>
    <row r="71" spans="1:5" x14ac:dyDescent="0.25">
      <c r="A71" s="42" t="s">
        <v>51</v>
      </c>
      <c r="B71" s="6">
        <v>153</v>
      </c>
      <c r="C71" s="5">
        <f t="shared" si="7"/>
        <v>8.186195826645265E-2</v>
      </c>
    </row>
    <row r="72" spans="1:5" x14ac:dyDescent="0.25">
      <c r="A72" s="13" t="s">
        <v>52</v>
      </c>
      <c r="B72" s="14">
        <v>551</v>
      </c>
      <c r="C72" s="15">
        <f t="shared" si="7"/>
        <v>0.29481005885500267</v>
      </c>
    </row>
    <row r="73" spans="1:5" ht="15.75" thickBot="1" x14ac:dyDescent="0.3">
      <c r="A73" s="43" t="s">
        <v>5</v>
      </c>
      <c r="B73" s="3">
        <f>SUM(B66:B72)</f>
        <v>1869</v>
      </c>
      <c r="C73" s="2"/>
    </row>
    <row r="74" spans="1:5" ht="15.75" thickBot="1" x14ac:dyDescent="0.3"/>
    <row r="75" spans="1:5" ht="18" thickBot="1" x14ac:dyDescent="0.35">
      <c r="A75" s="158" t="s">
        <v>11</v>
      </c>
      <c r="B75" s="159"/>
      <c r="C75" s="160"/>
    </row>
    <row r="76" spans="1:5" x14ac:dyDescent="0.25">
      <c r="A76" s="12" t="s">
        <v>12</v>
      </c>
      <c r="B76" s="4" t="s">
        <v>1</v>
      </c>
      <c r="C76" s="11" t="s">
        <v>2</v>
      </c>
    </row>
    <row r="77" spans="1:5" x14ac:dyDescent="0.25">
      <c r="A77" s="18" t="s">
        <v>14</v>
      </c>
      <c r="B77" s="6">
        <v>2195</v>
      </c>
      <c r="C77" s="5">
        <f t="shared" ref="C77:C87" si="8">B77/$B$88</f>
        <v>0.34307596123788686</v>
      </c>
    </row>
    <row r="78" spans="1:5" x14ac:dyDescent="0.25">
      <c r="A78" s="18" t="s">
        <v>13</v>
      </c>
      <c r="B78" s="6">
        <v>1453</v>
      </c>
      <c r="C78" s="5">
        <f t="shared" si="8"/>
        <v>0.22710221944357611</v>
      </c>
    </row>
    <row r="79" spans="1:5" x14ac:dyDescent="0.25">
      <c r="A79" s="18" t="s">
        <v>24</v>
      </c>
      <c r="B79" s="6">
        <v>423</v>
      </c>
      <c r="C79" s="5">
        <f t="shared" si="8"/>
        <v>6.6114410753360428E-2</v>
      </c>
    </row>
    <row r="80" spans="1:5" x14ac:dyDescent="0.25">
      <c r="A80" s="18" t="s">
        <v>25</v>
      </c>
      <c r="B80" s="6">
        <v>310</v>
      </c>
      <c r="C80" s="5">
        <f t="shared" si="8"/>
        <v>4.845264145045327E-2</v>
      </c>
    </row>
    <row r="81" spans="1:3" x14ac:dyDescent="0.25">
      <c r="A81" s="18" t="s">
        <v>26</v>
      </c>
      <c r="B81" s="6">
        <v>266</v>
      </c>
      <c r="C81" s="5">
        <f t="shared" si="8"/>
        <v>4.1575492341356671E-2</v>
      </c>
    </row>
    <row r="82" spans="1:3" x14ac:dyDescent="0.25">
      <c r="A82" s="18" t="s">
        <v>20</v>
      </c>
      <c r="B82" s="6">
        <v>247</v>
      </c>
      <c r="C82" s="5">
        <f t="shared" si="8"/>
        <v>3.8605814316974053E-2</v>
      </c>
    </row>
    <row r="83" spans="1:3" x14ac:dyDescent="0.25">
      <c r="A83" s="18" t="s">
        <v>19</v>
      </c>
      <c r="B83" s="6">
        <v>223</v>
      </c>
      <c r="C83" s="5">
        <f t="shared" si="8"/>
        <v>3.4854642075648638E-2</v>
      </c>
    </row>
    <row r="84" spans="1:3" x14ac:dyDescent="0.25">
      <c r="A84" s="18" t="s">
        <v>17</v>
      </c>
      <c r="B84" s="6">
        <v>206</v>
      </c>
      <c r="C84" s="5">
        <f t="shared" si="8"/>
        <v>3.219756173804314E-2</v>
      </c>
    </row>
    <row r="85" spans="1:3" x14ac:dyDescent="0.25">
      <c r="A85" s="18" t="s">
        <v>15</v>
      </c>
      <c r="B85" s="6">
        <v>141</v>
      </c>
      <c r="C85" s="5">
        <f t="shared" si="8"/>
        <v>2.2038136917786808E-2</v>
      </c>
    </row>
    <row r="86" spans="1:3" x14ac:dyDescent="0.25">
      <c r="A86" s="18" t="s">
        <v>18</v>
      </c>
      <c r="B86" s="6">
        <v>121</v>
      </c>
      <c r="C86" s="5">
        <f t="shared" si="8"/>
        <v>1.8912160050015631E-2</v>
      </c>
    </row>
    <row r="87" spans="1:3" x14ac:dyDescent="0.25">
      <c r="A87" s="19" t="s">
        <v>33</v>
      </c>
      <c r="B87" s="14">
        <v>813</v>
      </c>
      <c r="C87" s="15">
        <f t="shared" si="8"/>
        <v>0.1270709596748984</v>
      </c>
    </row>
    <row r="88" spans="1:3" ht="15.75" thickBot="1" x14ac:dyDescent="0.3">
      <c r="A88" s="43" t="s">
        <v>5</v>
      </c>
      <c r="B88" s="3">
        <f>SUM(B77:B87)</f>
        <v>6398</v>
      </c>
      <c r="C88" s="2"/>
    </row>
    <row r="89" spans="1:3" ht="15.75" thickBot="1" x14ac:dyDescent="0.3"/>
    <row r="90" spans="1:3" ht="52.5" thickBot="1" x14ac:dyDescent="0.35">
      <c r="A90" s="117" t="s">
        <v>42</v>
      </c>
      <c r="B90" s="118"/>
      <c r="C90" s="119"/>
    </row>
    <row r="91" spans="1:3" x14ac:dyDescent="0.25">
      <c r="A91" s="12" t="s">
        <v>12</v>
      </c>
      <c r="B91" s="4" t="s">
        <v>1</v>
      </c>
      <c r="C91" s="11" t="s">
        <v>2</v>
      </c>
    </row>
    <row r="92" spans="1:3" x14ac:dyDescent="0.25">
      <c r="A92" s="42" t="s">
        <v>13</v>
      </c>
      <c r="B92" s="6">
        <v>499</v>
      </c>
      <c r="C92" s="5">
        <f t="shared" ref="C92:C102" si="9">B92/$B$103</f>
        <v>0.26698769395398608</v>
      </c>
    </row>
    <row r="93" spans="1:3" x14ac:dyDescent="0.25">
      <c r="A93" s="42" t="s">
        <v>14</v>
      </c>
      <c r="B93" s="6">
        <v>490</v>
      </c>
      <c r="C93" s="5">
        <f t="shared" si="9"/>
        <v>0.26217228464419473</v>
      </c>
    </row>
    <row r="94" spans="1:3" x14ac:dyDescent="0.25">
      <c r="A94" s="42" t="s">
        <v>24</v>
      </c>
      <c r="B94" s="6">
        <v>248</v>
      </c>
      <c r="C94" s="5">
        <f t="shared" si="9"/>
        <v>0.13269127875869449</v>
      </c>
    </row>
    <row r="95" spans="1:3" x14ac:dyDescent="0.25">
      <c r="A95" s="42" t="s">
        <v>26</v>
      </c>
      <c r="B95" s="6">
        <v>168</v>
      </c>
      <c r="C95" s="5">
        <f t="shared" si="9"/>
        <v>8.98876404494382E-2</v>
      </c>
    </row>
    <row r="96" spans="1:3" x14ac:dyDescent="0.25">
      <c r="A96" s="42" t="s">
        <v>19</v>
      </c>
      <c r="B96" s="6">
        <v>77</v>
      </c>
      <c r="C96" s="5">
        <f t="shared" si="9"/>
        <v>4.1198501872659173E-2</v>
      </c>
    </row>
    <row r="97" spans="1:3" x14ac:dyDescent="0.25">
      <c r="A97" s="42" t="s">
        <v>18</v>
      </c>
      <c r="B97" s="6">
        <v>75</v>
      </c>
      <c r="C97" s="5">
        <f t="shared" si="9"/>
        <v>4.0128410914927769E-2</v>
      </c>
    </row>
    <row r="98" spans="1:3" x14ac:dyDescent="0.25">
      <c r="A98" s="42" t="s">
        <v>123</v>
      </c>
      <c r="B98" s="6">
        <v>65</v>
      </c>
      <c r="C98" s="5">
        <f t="shared" si="9"/>
        <v>3.4777956126270736E-2</v>
      </c>
    </row>
    <row r="99" spans="1:3" x14ac:dyDescent="0.25">
      <c r="A99" s="42" t="s">
        <v>110</v>
      </c>
      <c r="B99" s="6">
        <v>57</v>
      </c>
      <c r="C99" s="5">
        <f t="shared" si="9"/>
        <v>3.0497592295345103E-2</v>
      </c>
    </row>
    <row r="100" spans="1:3" x14ac:dyDescent="0.25">
      <c r="A100" s="42" t="s">
        <v>21</v>
      </c>
      <c r="B100" s="6">
        <v>51</v>
      </c>
      <c r="C100" s="5">
        <f t="shared" si="9"/>
        <v>2.7287319422150885E-2</v>
      </c>
    </row>
    <row r="101" spans="1:3" x14ac:dyDescent="0.25">
      <c r="A101" s="42" t="s">
        <v>63</v>
      </c>
      <c r="B101" s="6">
        <v>34</v>
      </c>
      <c r="C101" s="5">
        <f t="shared" si="9"/>
        <v>1.8191546281433921E-2</v>
      </c>
    </row>
    <row r="102" spans="1:3" x14ac:dyDescent="0.25">
      <c r="A102" s="13" t="s">
        <v>33</v>
      </c>
      <c r="B102" s="14">
        <v>105</v>
      </c>
      <c r="C102" s="15">
        <f t="shared" si="9"/>
        <v>5.6179775280898875E-2</v>
      </c>
    </row>
    <row r="103" spans="1:3" ht="15.75" thickBot="1" x14ac:dyDescent="0.3">
      <c r="A103" s="43" t="s">
        <v>5</v>
      </c>
      <c r="B103" s="3">
        <f>SUM(B92:B102)</f>
        <v>1869</v>
      </c>
      <c r="C103" s="2"/>
    </row>
    <row r="104" spans="1:3" x14ac:dyDescent="0.25">
      <c r="A104" s="49"/>
      <c r="B104" s="6"/>
      <c r="C104" s="49"/>
    </row>
    <row r="105" spans="1:3" x14ac:dyDescent="0.25">
      <c r="A105" s="51" t="s">
        <v>137</v>
      </c>
      <c r="B105" s="52"/>
      <c r="C105" s="53"/>
    </row>
    <row r="106" spans="1:3" x14ac:dyDescent="0.25">
      <c r="A106" s="54" t="s">
        <v>138</v>
      </c>
      <c r="B106" s="52"/>
      <c r="C106" s="53"/>
    </row>
    <row r="107" spans="1:3" x14ac:dyDescent="0.25">
      <c r="A107" s="54" t="s">
        <v>139</v>
      </c>
      <c r="B107" s="52"/>
      <c r="C107" s="53"/>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7"/>
  <sheetViews>
    <sheetView topLeftCell="A88" workbookViewId="0">
      <selection activeCell="E39" sqref="E39:F63"/>
    </sheetView>
  </sheetViews>
  <sheetFormatPr defaultColWidth="8.85546875" defaultRowHeight="15" x14ac:dyDescent="0.25"/>
  <cols>
    <col min="1" max="1" width="26.7109375" style="40" customWidth="1"/>
    <col min="2" max="2" width="10.7109375" style="40" bestFit="1" customWidth="1"/>
    <col min="3" max="3" width="7.85546875" style="40" customWidth="1"/>
    <col min="4" max="4" width="8.85546875" style="40"/>
    <col min="5" max="5" width="25.140625" style="40" bestFit="1" customWidth="1"/>
    <col min="6" max="6" width="18.42578125" style="40" bestFit="1" customWidth="1"/>
    <col min="7" max="7" width="24.140625" style="40" customWidth="1"/>
    <col min="8" max="8" width="8.85546875" style="40"/>
    <col min="9" max="9" width="27.42578125" style="40" bestFit="1" customWidth="1"/>
    <col min="10" max="16384" width="8.85546875" style="40"/>
  </cols>
  <sheetData>
    <row r="1" spans="1:10" ht="21" x14ac:dyDescent="0.35">
      <c r="A1" s="171" t="s">
        <v>244</v>
      </c>
      <c r="B1" s="171"/>
      <c r="C1" s="171"/>
      <c r="D1" s="171"/>
      <c r="E1" s="171"/>
      <c r="F1" s="171"/>
    </row>
    <row r="2" spans="1:10" x14ac:dyDescent="0.25">
      <c r="A2" s="50" t="s">
        <v>135</v>
      </c>
      <c r="B2" s="50"/>
    </row>
    <row r="3" spans="1:10" x14ac:dyDescent="0.25">
      <c r="A3" s="40" t="s">
        <v>136</v>
      </c>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245</v>
      </c>
      <c r="J6" s="44"/>
    </row>
    <row r="7" spans="1:10" x14ac:dyDescent="0.25">
      <c r="A7" s="42" t="s">
        <v>3</v>
      </c>
      <c r="B7" s="6">
        <v>105899</v>
      </c>
      <c r="C7" s="5">
        <f>B7/$B$9</f>
        <v>0.95042316218375023</v>
      </c>
      <c r="E7" s="42" t="s">
        <v>55</v>
      </c>
      <c r="F7" s="6">
        <v>46993</v>
      </c>
      <c r="G7" s="5">
        <f>F7/$F$9</f>
        <v>0.96848852067103586</v>
      </c>
      <c r="I7" s="42" t="s">
        <v>246</v>
      </c>
      <c r="J7" s="44"/>
    </row>
    <row r="8" spans="1:10" x14ac:dyDescent="0.25">
      <c r="A8" s="13" t="s">
        <v>4</v>
      </c>
      <c r="B8" s="14">
        <v>5524</v>
      </c>
      <c r="C8" s="15">
        <f>B8/$B$9</f>
        <v>4.9576837816249789E-2</v>
      </c>
      <c r="E8" s="13" t="s">
        <v>58</v>
      </c>
      <c r="F8" s="14">
        <v>1529</v>
      </c>
      <c r="G8" s="15">
        <f>F8/$F$9</f>
        <v>3.1511479328964184E-2</v>
      </c>
      <c r="I8" s="42" t="s">
        <v>247</v>
      </c>
      <c r="J8" s="44"/>
    </row>
    <row r="9" spans="1:10" ht="15.75" thickBot="1" x14ac:dyDescent="0.3">
      <c r="A9" s="43" t="s">
        <v>5</v>
      </c>
      <c r="B9" s="3">
        <f>SUM(B7:B8)</f>
        <v>111423</v>
      </c>
      <c r="C9" s="2"/>
      <c r="E9" s="43" t="s">
        <v>5</v>
      </c>
      <c r="F9" s="3">
        <f>SUM(F7:F8)</f>
        <v>48522</v>
      </c>
      <c r="G9" s="2"/>
      <c r="I9" s="42" t="s">
        <v>248</v>
      </c>
      <c r="J9" s="44"/>
    </row>
    <row r="10" spans="1:10" x14ac:dyDescent="0.25">
      <c r="A10" s="40" t="s">
        <v>249</v>
      </c>
      <c r="E10" s="40" t="s">
        <v>148</v>
      </c>
      <c r="I10" s="42" t="s">
        <v>250</v>
      </c>
      <c r="J10" s="44"/>
    </row>
    <row r="11" spans="1:10" ht="15.75" thickBot="1" x14ac:dyDescent="0.3">
      <c r="I11" s="42" t="s">
        <v>251</v>
      </c>
      <c r="J11" s="44"/>
    </row>
    <row r="12" spans="1:10" ht="52.5" thickBot="1" x14ac:dyDescent="0.35">
      <c r="A12" s="158" t="s">
        <v>35</v>
      </c>
      <c r="B12" s="159"/>
      <c r="C12" s="160"/>
      <c r="E12" s="117" t="s">
        <v>56</v>
      </c>
      <c r="F12" s="118"/>
      <c r="G12" s="119"/>
      <c r="I12" s="42" t="s">
        <v>252</v>
      </c>
      <c r="J12" s="44"/>
    </row>
    <row r="13" spans="1:10" x14ac:dyDescent="0.25">
      <c r="A13" s="12" t="s">
        <v>6</v>
      </c>
      <c r="B13" s="4" t="s">
        <v>7</v>
      </c>
      <c r="C13" s="11" t="s">
        <v>2</v>
      </c>
      <c r="E13" s="12" t="s">
        <v>6</v>
      </c>
      <c r="F13" s="4" t="s">
        <v>7</v>
      </c>
      <c r="G13" s="11" t="s">
        <v>2</v>
      </c>
      <c r="I13" s="42"/>
      <c r="J13" s="44"/>
    </row>
    <row r="14" spans="1:10" x14ac:dyDescent="0.25">
      <c r="A14" s="42" t="s">
        <v>36</v>
      </c>
      <c r="B14" s="6">
        <v>8658</v>
      </c>
      <c r="C14" s="5">
        <f>B14/$B$21</f>
        <v>7.770388519425972E-2</v>
      </c>
      <c r="E14" s="42" t="s">
        <v>36</v>
      </c>
      <c r="F14" s="6">
        <v>1813</v>
      </c>
      <c r="G14" s="5">
        <f t="shared" ref="G14:G19" si="0">F14/$F$20</f>
        <v>6.0747193834813203E-2</v>
      </c>
      <c r="I14" s="42"/>
      <c r="J14" s="44"/>
    </row>
    <row r="15" spans="1:10" x14ac:dyDescent="0.25">
      <c r="A15" s="42" t="s">
        <v>37</v>
      </c>
      <c r="B15" s="6">
        <v>10698</v>
      </c>
      <c r="C15" s="5">
        <f t="shared" ref="C15:C20" si="1">B15/$B$21</f>
        <v>9.6012492932338919E-2</v>
      </c>
      <c r="E15" s="42" t="s">
        <v>37</v>
      </c>
      <c r="F15" s="6">
        <v>2381</v>
      </c>
      <c r="G15" s="5">
        <f t="shared" si="0"/>
        <v>7.9778857430055292E-2</v>
      </c>
      <c r="I15" s="42"/>
      <c r="J15" s="44"/>
    </row>
    <row r="16" spans="1:10" x14ac:dyDescent="0.25">
      <c r="A16" s="42" t="s">
        <v>38</v>
      </c>
      <c r="B16" s="6">
        <v>11792</v>
      </c>
      <c r="C16" s="5">
        <f t="shared" si="1"/>
        <v>0.10583093257226964</v>
      </c>
      <c r="E16" s="42" t="s">
        <v>38</v>
      </c>
      <c r="F16" s="6">
        <v>2985</v>
      </c>
      <c r="G16" s="5">
        <f t="shared" si="0"/>
        <v>0.10001675322499581</v>
      </c>
      <c r="I16" s="42"/>
      <c r="J16" s="44"/>
    </row>
    <row r="17" spans="1:10" x14ac:dyDescent="0.25">
      <c r="A17" s="42" t="s">
        <v>39</v>
      </c>
      <c r="B17" s="6">
        <v>15686</v>
      </c>
      <c r="C17" s="5">
        <f t="shared" si="1"/>
        <v>0.14077883381348555</v>
      </c>
      <c r="E17" s="42" t="s">
        <v>39</v>
      </c>
      <c r="F17" s="6">
        <v>4002</v>
      </c>
      <c r="G17" s="5">
        <f t="shared" si="0"/>
        <v>0.13409281286647678</v>
      </c>
      <c r="I17" s="42"/>
      <c r="J17" s="44"/>
    </row>
    <row r="18" spans="1:10" x14ac:dyDescent="0.25">
      <c r="A18" s="42" t="s">
        <v>40</v>
      </c>
      <c r="B18" s="6">
        <v>12765</v>
      </c>
      <c r="C18" s="5">
        <f t="shared" si="1"/>
        <v>0.11456342047871625</v>
      </c>
      <c r="E18" s="42" t="s">
        <v>40</v>
      </c>
      <c r="F18" s="6">
        <v>3519</v>
      </c>
      <c r="G18" s="5">
        <f t="shared" si="0"/>
        <v>0.1179091975205227</v>
      </c>
      <c r="I18" s="42"/>
      <c r="J18" s="44"/>
    </row>
    <row r="19" spans="1:10" x14ac:dyDescent="0.25">
      <c r="A19" s="42" t="s">
        <v>8</v>
      </c>
      <c r="B19" s="6">
        <v>48303</v>
      </c>
      <c r="C19" s="5">
        <f t="shared" si="1"/>
        <v>0.43351013704531383</v>
      </c>
      <c r="E19" s="13" t="s">
        <v>8</v>
      </c>
      <c r="F19" s="14">
        <v>15145</v>
      </c>
      <c r="G19" s="15">
        <f t="shared" si="0"/>
        <v>0.50745518512313625</v>
      </c>
      <c r="I19" s="42"/>
      <c r="J19" s="44"/>
    </row>
    <row r="20" spans="1:10" ht="15.75" thickBot="1" x14ac:dyDescent="0.3">
      <c r="A20" s="13" t="s">
        <v>9</v>
      </c>
      <c r="B20" s="14">
        <v>3521</v>
      </c>
      <c r="C20" s="15">
        <f t="shared" si="1"/>
        <v>3.1600297963616131E-2</v>
      </c>
      <c r="E20" s="43" t="s">
        <v>5</v>
      </c>
      <c r="F20" s="3">
        <f>SUM(F14:F19)</f>
        <v>29845</v>
      </c>
      <c r="G20" s="2"/>
      <c r="I20" s="42"/>
      <c r="J20" s="44"/>
    </row>
    <row r="21" spans="1:10" ht="15.75" thickBot="1" x14ac:dyDescent="0.3">
      <c r="A21" s="43" t="s">
        <v>5</v>
      </c>
      <c r="B21" s="3">
        <f>SUM(B14:B20)</f>
        <v>111423</v>
      </c>
      <c r="C21" s="2"/>
      <c r="E21" s="55" t="s">
        <v>140</v>
      </c>
      <c r="I21" s="42"/>
      <c r="J21" s="44"/>
    </row>
    <row r="22" spans="1:10" ht="15.75" thickBot="1" x14ac:dyDescent="0.3">
      <c r="E22" s="67"/>
      <c r="I22" s="42"/>
      <c r="J22" s="44"/>
    </row>
    <row r="23" spans="1:10" ht="69.75" thickBot="1" x14ac:dyDescent="0.35">
      <c r="E23" s="117" t="s">
        <v>57</v>
      </c>
      <c r="F23" s="118"/>
      <c r="G23" s="119"/>
      <c r="I23" s="42"/>
      <c r="J23" s="44"/>
    </row>
    <row r="24" spans="1:10" ht="18" thickBot="1" x14ac:dyDescent="0.35">
      <c r="A24" s="158" t="s">
        <v>10</v>
      </c>
      <c r="B24" s="159"/>
      <c r="C24" s="160"/>
      <c r="E24" s="12" t="s">
        <v>6</v>
      </c>
      <c r="F24" s="4" t="s">
        <v>7</v>
      </c>
      <c r="G24" s="11" t="s">
        <v>2</v>
      </c>
      <c r="I24" s="42"/>
      <c r="J24" s="44"/>
    </row>
    <row r="25" spans="1:10" x14ac:dyDescent="0.25">
      <c r="A25" s="12" t="s">
        <v>6</v>
      </c>
      <c r="B25" s="4" t="s">
        <v>7</v>
      </c>
      <c r="C25" s="11" t="s">
        <v>2</v>
      </c>
      <c r="E25" s="42" t="s">
        <v>36</v>
      </c>
      <c r="F25" s="6">
        <v>212</v>
      </c>
      <c r="G25" s="5">
        <f t="shared" ref="G25:G30" si="2">F25/$F$31</f>
        <v>0.21435793731041455</v>
      </c>
      <c r="I25" s="42"/>
      <c r="J25" s="44"/>
    </row>
    <row r="26" spans="1:10" x14ac:dyDescent="0.25">
      <c r="A26" s="42" t="s">
        <v>36</v>
      </c>
      <c r="B26" s="6">
        <v>1153</v>
      </c>
      <c r="C26" s="5">
        <f t="shared" ref="C26:C32" si="3">B26/$B$33</f>
        <v>0.20872556118754526</v>
      </c>
      <c r="E26" s="42" t="s">
        <v>37</v>
      </c>
      <c r="F26" s="6">
        <v>263</v>
      </c>
      <c r="G26" s="5">
        <f t="shared" si="2"/>
        <v>0.26592517694641049</v>
      </c>
      <c r="I26" s="42"/>
      <c r="J26" s="44"/>
    </row>
    <row r="27" spans="1:10" x14ac:dyDescent="0.25">
      <c r="A27" s="42" t="s">
        <v>37</v>
      </c>
      <c r="B27" s="6">
        <v>1325</v>
      </c>
      <c r="C27" s="5">
        <f t="shared" si="3"/>
        <v>0.23986241853729182</v>
      </c>
      <c r="E27" s="42" t="s">
        <v>38</v>
      </c>
      <c r="F27" s="6">
        <v>159</v>
      </c>
      <c r="G27" s="5">
        <f t="shared" si="2"/>
        <v>0.16076845298281092</v>
      </c>
      <c r="I27" s="42"/>
      <c r="J27" s="44"/>
    </row>
    <row r="28" spans="1:10" x14ac:dyDescent="0.25">
      <c r="A28" s="42" t="s">
        <v>38</v>
      </c>
      <c r="B28" s="6">
        <v>708</v>
      </c>
      <c r="C28" s="5">
        <f t="shared" si="3"/>
        <v>0.12816799420709632</v>
      </c>
      <c r="E28" s="42" t="s">
        <v>39</v>
      </c>
      <c r="F28" s="6">
        <v>157</v>
      </c>
      <c r="G28" s="5">
        <f t="shared" si="2"/>
        <v>0.15874620829120323</v>
      </c>
      <c r="I28" s="42"/>
      <c r="J28" s="44"/>
    </row>
    <row r="29" spans="1:10" x14ac:dyDescent="0.25">
      <c r="A29" s="42" t="s">
        <v>39</v>
      </c>
      <c r="B29" s="6">
        <v>769</v>
      </c>
      <c r="C29" s="5">
        <f t="shared" si="3"/>
        <v>0.13921071687183201</v>
      </c>
      <c r="E29" s="42" t="s">
        <v>40</v>
      </c>
      <c r="F29" s="6">
        <v>53</v>
      </c>
      <c r="G29" s="5">
        <f t="shared" si="2"/>
        <v>5.3589484327603638E-2</v>
      </c>
      <c r="I29" s="42"/>
      <c r="J29" s="44"/>
    </row>
    <row r="30" spans="1:10" x14ac:dyDescent="0.25">
      <c r="A30" s="42" t="s">
        <v>40</v>
      </c>
      <c r="B30" s="6">
        <v>518</v>
      </c>
      <c r="C30" s="5">
        <f t="shared" si="3"/>
        <v>9.3772628530050695E-2</v>
      </c>
      <c r="E30" s="13" t="s">
        <v>8</v>
      </c>
      <c r="F30" s="14">
        <v>145</v>
      </c>
      <c r="G30" s="15">
        <f t="shared" si="2"/>
        <v>0.14661274014155712</v>
      </c>
      <c r="I30" s="42"/>
      <c r="J30" s="44"/>
    </row>
    <row r="31" spans="1:10" ht="15.75" thickBot="1" x14ac:dyDescent="0.3">
      <c r="A31" s="42" t="s">
        <v>8</v>
      </c>
      <c r="B31" s="6">
        <v>958</v>
      </c>
      <c r="C31" s="5">
        <f t="shared" si="3"/>
        <v>0.17342505430847213</v>
      </c>
      <c r="E31" s="43" t="s">
        <v>5</v>
      </c>
      <c r="F31" s="3">
        <f>SUM(F25:F30)</f>
        <v>989</v>
      </c>
      <c r="G31" s="2"/>
      <c r="I31" s="43"/>
      <c r="J31" s="2"/>
    </row>
    <row r="32" spans="1:10" ht="15.75" thickBot="1" x14ac:dyDescent="0.3">
      <c r="A32" s="13" t="s">
        <v>9</v>
      </c>
      <c r="B32" s="14">
        <v>93</v>
      </c>
      <c r="C32" s="15">
        <f t="shared" si="3"/>
        <v>1.6835626357711804E-2</v>
      </c>
    </row>
    <row r="33" spans="1:7" ht="52.5" thickBot="1" x14ac:dyDescent="0.35">
      <c r="A33" s="43" t="s">
        <v>5</v>
      </c>
      <c r="B33" s="3">
        <f>SUM(B26:B32)</f>
        <v>5524</v>
      </c>
      <c r="C33" s="2"/>
      <c r="E33" s="117" t="s">
        <v>59</v>
      </c>
      <c r="F33" s="118"/>
      <c r="G33" s="119"/>
    </row>
    <row r="34" spans="1:7" ht="15.75" thickBot="1" x14ac:dyDescent="0.3">
      <c r="E34" s="12" t="s">
        <v>6</v>
      </c>
      <c r="F34" s="4" t="s">
        <v>7</v>
      </c>
      <c r="G34" s="11" t="s">
        <v>2</v>
      </c>
    </row>
    <row r="35" spans="1:7" ht="18" thickBot="1" x14ac:dyDescent="0.35">
      <c r="A35" s="158" t="s">
        <v>158</v>
      </c>
      <c r="B35" s="159"/>
      <c r="C35" s="160"/>
      <c r="E35" s="42" t="s">
        <v>36</v>
      </c>
      <c r="F35" s="6">
        <f>F25</f>
        <v>212</v>
      </c>
      <c r="G35" s="5">
        <f>F35/$F$37</f>
        <v>0.44631578947368422</v>
      </c>
    </row>
    <row r="36" spans="1:7" x14ac:dyDescent="0.25">
      <c r="A36" s="12" t="s">
        <v>0</v>
      </c>
      <c r="B36" s="4" t="s">
        <v>1</v>
      </c>
      <c r="C36" s="11" t="s">
        <v>2</v>
      </c>
      <c r="E36" s="13" t="s">
        <v>37</v>
      </c>
      <c r="F36" s="14">
        <f>F26</f>
        <v>263</v>
      </c>
      <c r="G36" s="15">
        <f>F36/$F$37</f>
        <v>0.55368421052631578</v>
      </c>
    </row>
    <row r="37" spans="1:7" ht="15.75" thickBot="1" x14ac:dyDescent="0.3">
      <c r="A37" s="42" t="s">
        <v>3</v>
      </c>
      <c r="B37" s="6">
        <v>7505</v>
      </c>
      <c r="C37" s="5">
        <v>0.86699999999999999</v>
      </c>
      <c r="E37" s="43" t="s">
        <v>5</v>
      </c>
      <c r="F37" s="3">
        <f>SUM(F35:F36)</f>
        <v>475</v>
      </c>
      <c r="G37" s="2"/>
    </row>
    <row r="38" spans="1:7" ht="15.75" thickBot="1" x14ac:dyDescent="0.3">
      <c r="A38" s="13" t="s">
        <v>4</v>
      </c>
      <c r="B38" s="14">
        <v>1153</v>
      </c>
      <c r="C38" s="15">
        <v>0.13300000000000001</v>
      </c>
    </row>
    <row r="39" spans="1:7" ht="52.5" thickBot="1" x14ac:dyDescent="0.35">
      <c r="A39" s="43" t="s">
        <v>5</v>
      </c>
      <c r="B39" s="3">
        <v>8658</v>
      </c>
      <c r="C39" s="48"/>
      <c r="E39" s="117" t="s">
        <v>60</v>
      </c>
      <c r="F39" s="118"/>
      <c r="G39" s="119"/>
    </row>
    <row r="40" spans="1:7" ht="15.75" thickBot="1" x14ac:dyDescent="0.3">
      <c r="E40" s="12" t="s">
        <v>12</v>
      </c>
      <c r="F40" s="4" t="s">
        <v>1</v>
      </c>
      <c r="G40" s="11" t="s">
        <v>2</v>
      </c>
    </row>
    <row r="41" spans="1:7" ht="18" thickBot="1" x14ac:dyDescent="0.35">
      <c r="A41" s="158" t="s">
        <v>154</v>
      </c>
      <c r="B41" s="159"/>
      <c r="C41" s="160"/>
      <c r="E41" s="42" t="s">
        <v>13</v>
      </c>
      <c r="F41" s="6">
        <v>515</v>
      </c>
      <c r="G41" s="5">
        <f t="shared" ref="G41:G51" si="4">F41/$F$52</f>
        <v>0.52072800808897879</v>
      </c>
    </row>
    <row r="42" spans="1:7" x14ac:dyDescent="0.25">
      <c r="A42" s="12" t="s">
        <v>0</v>
      </c>
      <c r="B42" s="4" t="s">
        <v>1</v>
      </c>
      <c r="C42" s="11" t="s">
        <v>2</v>
      </c>
      <c r="E42" s="42" t="s">
        <v>18</v>
      </c>
      <c r="F42" s="6">
        <v>156</v>
      </c>
      <c r="G42" s="5">
        <f t="shared" si="4"/>
        <v>0.15773508594539939</v>
      </c>
    </row>
    <row r="43" spans="1:7" x14ac:dyDescent="0.25">
      <c r="A43" s="42" t="s">
        <v>3</v>
      </c>
      <c r="B43" s="6">
        <v>9373</v>
      </c>
      <c r="C43" s="5">
        <v>0.876</v>
      </c>
      <c r="E43" s="42" t="s">
        <v>15</v>
      </c>
      <c r="F43" s="6">
        <v>79</v>
      </c>
      <c r="G43" s="5">
        <f t="shared" si="4"/>
        <v>7.9878665318503544E-2</v>
      </c>
    </row>
    <row r="44" spans="1:7" x14ac:dyDescent="0.25">
      <c r="A44" s="13" t="s">
        <v>4</v>
      </c>
      <c r="B44" s="14">
        <v>1325</v>
      </c>
      <c r="C44" s="15">
        <v>0.124</v>
      </c>
      <c r="E44" s="42" t="s">
        <v>14</v>
      </c>
      <c r="F44" s="6">
        <v>68</v>
      </c>
      <c r="G44" s="5">
        <f t="shared" si="4"/>
        <v>6.8756319514661268E-2</v>
      </c>
    </row>
    <row r="45" spans="1:7" ht="15.75" thickBot="1" x14ac:dyDescent="0.3">
      <c r="A45" s="43" t="s">
        <v>5</v>
      </c>
      <c r="B45" s="3">
        <v>10698</v>
      </c>
      <c r="C45" s="2"/>
      <c r="E45" s="42" t="s">
        <v>19</v>
      </c>
      <c r="F45" s="6">
        <v>53</v>
      </c>
      <c r="G45" s="5">
        <f t="shared" si="4"/>
        <v>5.3589484327603638E-2</v>
      </c>
    </row>
    <row r="46" spans="1:7" ht="15.75" thickBot="1" x14ac:dyDescent="0.3">
      <c r="E46" s="42" t="s">
        <v>17</v>
      </c>
      <c r="F46" s="6">
        <v>38</v>
      </c>
      <c r="G46" s="5">
        <f t="shared" si="4"/>
        <v>3.8422649140546009E-2</v>
      </c>
    </row>
    <row r="47" spans="1:7" ht="18" thickBot="1" x14ac:dyDescent="0.3">
      <c r="A47" s="189" t="s">
        <v>41</v>
      </c>
      <c r="B47" s="190"/>
      <c r="C47" s="191"/>
      <c r="E47" s="42" t="s">
        <v>32</v>
      </c>
      <c r="F47" s="6">
        <v>26</v>
      </c>
      <c r="G47" s="5">
        <f t="shared" si="4"/>
        <v>2.6289180990899899E-2</v>
      </c>
    </row>
    <row r="48" spans="1:7" x14ac:dyDescent="0.25">
      <c r="A48" s="12" t="s">
        <v>6</v>
      </c>
      <c r="B48" s="4" t="s">
        <v>7</v>
      </c>
      <c r="C48" s="11" t="s">
        <v>2</v>
      </c>
      <c r="E48" s="42" t="s">
        <v>30</v>
      </c>
      <c r="F48" s="6">
        <v>20</v>
      </c>
      <c r="G48" s="5">
        <f t="shared" si="4"/>
        <v>2.0222446916076844E-2</v>
      </c>
    </row>
    <row r="49" spans="1:50" x14ac:dyDescent="0.25">
      <c r="A49" s="42" t="s">
        <v>36</v>
      </c>
      <c r="B49" s="6">
        <f>B26</f>
        <v>1153</v>
      </c>
      <c r="C49" s="5">
        <f>B49/$B$51</f>
        <v>0.46529459241323651</v>
      </c>
      <c r="E49" s="85" t="s">
        <v>253</v>
      </c>
      <c r="F49" s="6">
        <v>12</v>
      </c>
      <c r="G49" s="5">
        <f t="shared" si="4"/>
        <v>1.2133468149646108E-2</v>
      </c>
    </row>
    <row r="50" spans="1:50" x14ac:dyDescent="0.25">
      <c r="A50" s="13" t="s">
        <v>37</v>
      </c>
      <c r="B50" s="14">
        <f>B27</f>
        <v>1325</v>
      </c>
      <c r="C50" s="15">
        <f>B50/$B$51</f>
        <v>0.53470540758676355</v>
      </c>
      <c r="E50" s="42" t="s">
        <v>26</v>
      </c>
      <c r="F50" s="6">
        <v>11</v>
      </c>
      <c r="G50" s="5">
        <f t="shared" si="4"/>
        <v>1.1122345803842264E-2</v>
      </c>
    </row>
    <row r="51" spans="1:50" ht="15.75" thickBot="1" x14ac:dyDescent="0.3">
      <c r="A51" s="43" t="s">
        <v>5</v>
      </c>
      <c r="B51" s="3">
        <f>SUM(B49:B50)</f>
        <v>2478</v>
      </c>
      <c r="C51" s="2"/>
      <c r="E51" s="13" t="s">
        <v>133</v>
      </c>
      <c r="F51" s="14">
        <v>11</v>
      </c>
      <c r="G51" s="15">
        <f t="shared" si="4"/>
        <v>1.1122345803842264E-2</v>
      </c>
    </row>
    <row r="52" spans="1:50" s="41" customFormat="1" ht="15.75" thickBot="1" x14ac:dyDescent="0.3">
      <c r="A52" s="40"/>
      <c r="B52" s="40"/>
      <c r="C52" s="40"/>
      <c r="D52" s="40"/>
      <c r="E52" s="43" t="s">
        <v>5</v>
      </c>
      <c r="F52" s="3">
        <f>SUM(F41:F51)</f>
        <v>989</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row>
    <row r="53" spans="1:50" ht="18" thickBot="1" x14ac:dyDescent="0.35">
      <c r="A53" s="120" t="s">
        <v>44</v>
      </c>
      <c r="B53" s="121"/>
      <c r="C53" s="122"/>
      <c r="E53" s="56" t="s">
        <v>141</v>
      </c>
    </row>
    <row r="54" spans="1:50" ht="15.75" thickBot="1" x14ac:dyDescent="0.3">
      <c r="A54" s="12" t="s">
        <v>45</v>
      </c>
      <c r="B54" s="4" t="s">
        <v>7</v>
      </c>
      <c r="C54" s="11" t="s">
        <v>2</v>
      </c>
      <c r="D54" s="41"/>
      <c r="E54" s="57"/>
    </row>
    <row r="55" spans="1:50" ht="87" thickBot="1" x14ac:dyDescent="0.35">
      <c r="A55" s="42" t="s">
        <v>46</v>
      </c>
      <c r="B55" s="6">
        <v>432</v>
      </c>
      <c r="C55" s="5">
        <f t="shared" ref="C55:C61" si="5">B55/$B$62</f>
        <v>7.8204199855177403E-2</v>
      </c>
      <c r="E55" s="117" t="s">
        <v>61</v>
      </c>
      <c r="F55" s="118"/>
      <c r="G55" s="119"/>
    </row>
    <row r="56" spans="1:50" ht="31.5" customHeight="1" x14ac:dyDescent="0.25">
      <c r="A56" s="42" t="s">
        <v>47</v>
      </c>
      <c r="B56" s="6">
        <v>353</v>
      </c>
      <c r="C56" s="5">
        <f t="shared" si="5"/>
        <v>6.3902968863142645E-2</v>
      </c>
      <c r="E56" s="12" t="s">
        <v>12</v>
      </c>
      <c r="F56" s="4" t="s">
        <v>1</v>
      </c>
      <c r="G56" s="11" t="s">
        <v>2</v>
      </c>
    </row>
    <row r="57" spans="1:50" x14ac:dyDescent="0.25">
      <c r="A57" s="42" t="s">
        <v>48</v>
      </c>
      <c r="B57" s="6">
        <v>915</v>
      </c>
      <c r="C57" s="5">
        <f t="shared" si="5"/>
        <v>0.16564083997103549</v>
      </c>
      <c r="E57" s="42" t="s">
        <v>13</v>
      </c>
      <c r="F57" s="6">
        <v>266</v>
      </c>
      <c r="G57" s="5">
        <f t="shared" ref="G57:G62" si="6">F57/$F$63</f>
        <v>0.56000000000000005</v>
      </c>
    </row>
    <row r="58" spans="1:50" x14ac:dyDescent="0.25">
      <c r="A58" s="42" t="s">
        <v>49</v>
      </c>
      <c r="B58" s="6">
        <v>849</v>
      </c>
      <c r="C58" s="5">
        <f t="shared" si="5"/>
        <v>0.15369297610427227</v>
      </c>
      <c r="E58" s="42" t="s">
        <v>14</v>
      </c>
      <c r="F58" s="6">
        <v>68</v>
      </c>
      <c r="G58" s="5">
        <f t="shared" si="6"/>
        <v>0.1431578947368421</v>
      </c>
    </row>
    <row r="59" spans="1:50" x14ac:dyDescent="0.25">
      <c r="A59" s="42" t="s">
        <v>50</v>
      </c>
      <c r="B59" s="6">
        <v>1172</v>
      </c>
      <c r="C59" s="5">
        <f t="shared" si="5"/>
        <v>0.21216509775524983</v>
      </c>
      <c r="E59" s="42" t="s">
        <v>19</v>
      </c>
      <c r="F59" s="6">
        <v>53</v>
      </c>
      <c r="G59" s="5">
        <f t="shared" si="6"/>
        <v>0.11157894736842106</v>
      </c>
    </row>
    <row r="60" spans="1:50" x14ac:dyDescent="0.25">
      <c r="A60" s="42" t="s">
        <v>51</v>
      </c>
      <c r="B60" s="6">
        <v>880</v>
      </c>
      <c r="C60" s="5">
        <f t="shared" si="5"/>
        <v>0.15930485155684287</v>
      </c>
      <c r="E60" s="42" t="s">
        <v>18</v>
      </c>
      <c r="F60" s="6">
        <v>46</v>
      </c>
      <c r="G60" s="5">
        <f t="shared" si="6"/>
        <v>9.6842105263157896E-2</v>
      </c>
    </row>
    <row r="61" spans="1:50" x14ac:dyDescent="0.25">
      <c r="A61" s="13" t="s">
        <v>52</v>
      </c>
      <c r="B61" s="14">
        <v>923</v>
      </c>
      <c r="C61" s="15">
        <f t="shared" si="5"/>
        <v>0.16708906589427952</v>
      </c>
      <c r="E61" s="42" t="s">
        <v>15</v>
      </c>
      <c r="F61" s="6">
        <v>31</v>
      </c>
      <c r="G61" s="5">
        <f t="shared" si="6"/>
        <v>6.5263157894736842E-2</v>
      </c>
    </row>
    <row r="62" spans="1:50" ht="15.75" thickBot="1" x14ac:dyDescent="0.3">
      <c r="A62" s="43" t="s">
        <v>5</v>
      </c>
      <c r="B62" s="3">
        <f>SUM(B55:B61)</f>
        <v>5524</v>
      </c>
      <c r="C62" s="2"/>
      <c r="E62" s="13" t="s">
        <v>133</v>
      </c>
      <c r="F62" s="14">
        <v>11</v>
      </c>
      <c r="G62" s="15">
        <f t="shared" si="6"/>
        <v>2.3157894736842106E-2</v>
      </c>
    </row>
    <row r="63" spans="1:50" ht="15.75" thickBot="1" x14ac:dyDescent="0.3">
      <c r="E63" s="43" t="s">
        <v>5</v>
      </c>
      <c r="F63" s="3">
        <f>SUM(F57:F62)</f>
        <v>475</v>
      </c>
      <c r="G63" s="2"/>
    </row>
    <row r="64" spans="1:50" ht="52.5" thickBot="1" x14ac:dyDescent="0.35">
      <c r="A64" s="117" t="s">
        <v>53</v>
      </c>
      <c r="B64" s="118"/>
      <c r="C64" s="119"/>
      <c r="E64" s="40" t="s">
        <v>141</v>
      </c>
    </row>
    <row r="65" spans="1:5" x14ac:dyDescent="0.25">
      <c r="A65" s="12" t="s">
        <v>45</v>
      </c>
      <c r="B65" s="4" t="s">
        <v>7</v>
      </c>
      <c r="C65" s="11" t="s">
        <v>2</v>
      </c>
    </row>
    <row r="66" spans="1:5" x14ac:dyDescent="0.25">
      <c r="A66" s="42" t="s">
        <v>46</v>
      </c>
      <c r="B66" s="6">
        <v>214</v>
      </c>
      <c r="C66" s="5">
        <f t="shared" ref="C66:C72" si="7">B66/$B$73</f>
        <v>8.6359967715899918E-2</v>
      </c>
      <c r="E66" s="40" t="s">
        <v>142</v>
      </c>
    </row>
    <row r="67" spans="1:5" x14ac:dyDescent="0.25">
      <c r="A67" s="42" t="s">
        <v>47</v>
      </c>
      <c r="B67" s="6">
        <v>166</v>
      </c>
      <c r="C67" s="5">
        <f t="shared" si="7"/>
        <v>6.6989507667473774E-2</v>
      </c>
    </row>
    <row r="68" spans="1:5" x14ac:dyDescent="0.25">
      <c r="A68" s="42" t="s">
        <v>48</v>
      </c>
      <c r="B68" s="6">
        <v>371</v>
      </c>
      <c r="C68" s="5">
        <f t="shared" si="7"/>
        <v>0.14971751412429379</v>
      </c>
    </row>
    <row r="69" spans="1:5" x14ac:dyDescent="0.25">
      <c r="A69" s="42" t="s">
        <v>49</v>
      </c>
      <c r="B69" s="6">
        <v>460</v>
      </c>
      <c r="C69" s="5">
        <f t="shared" si="7"/>
        <v>0.18563357546408393</v>
      </c>
    </row>
    <row r="70" spans="1:5" x14ac:dyDescent="0.25">
      <c r="A70" s="42" t="s">
        <v>50</v>
      </c>
      <c r="B70" s="6">
        <v>489</v>
      </c>
      <c r="C70" s="5">
        <f t="shared" si="7"/>
        <v>0.19733656174334141</v>
      </c>
    </row>
    <row r="71" spans="1:5" x14ac:dyDescent="0.25">
      <c r="A71" s="42" t="s">
        <v>51</v>
      </c>
      <c r="B71" s="6">
        <v>439</v>
      </c>
      <c r="C71" s="5">
        <f t="shared" si="7"/>
        <v>0.17715899919289749</v>
      </c>
    </row>
    <row r="72" spans="1:5" x14ac:dyDescent="0.25">
      <c r="A72" s="13" t="s">
        <v>52</v>
      </c>
      <c r="B72" s="14">
        <v>339</v>
      </c>
      <c r="C72" s="15">
        <f t="shared" si="7"/>
        <v>0.1368038740920097</v>
      </c>
    </row>
    <row r="73" spans="1:5" ht="15.75" thickBot="1" x14ac:dyDescent="0.3">
      <c r="A73" s="43" t="s">
        <v>5</v>
      </c>
      <c r="B73" s="3">
        <f>SUM(B66:B72)</f>
        <v>2478</v>
      </c>
      <c r="C73" s="2"/>
    </row>
    <row r="74" spans="1:5" ht="15.75" thickBot="1" x14ac:dyDescent="0.3"/>
    <row r="75" spans="1:5" ht="18" thickBot="1" x14ac:dyDescent="0.35">
      <c r="A75" s="158" t="s">
        <v>11</v>
      </c>
      <c r="B75" s="159"/>
      <c r="C75" s="160"/>
    </row>
    <row r="76" spans="1:5" x14ac:dyDescent="0.25">
      <c r="A76" s="12" t="s">
        <v>12</v>
      </c>
      <c r="B76" s="4" t="s">
        <v>1</v>
      </c>
      <c r="C76" s="11" t="s">
        <v>2</v>
      </c>
    </row>
    <row r="77" spans="1:5" x14ac:dyDescent="0.25">
      <c r="A77" s="18" t="s">
        <v>13</v>
      </c>
      <c r="B77" s="6">
        <v>2682</v>
      </c>
      <c r="C77" s="5">
        <f t="shared" ref="C77:C87" si="8">B77/$B$88</f>
        <v>0.48551774076755971</v>
      </c>
    </row>
    <row r="78" spans="1:5" x14ac:dyDescent="0.25">
      <c r="A78" s="18" t="s">
        <v>18</v>
      </c>
      <c r="B78" s="6">
        <v>847</v>
      </c>
      <c r="C78" s="5">
        <f t="shared" si="8"/>
        <v>0.15333091962346126</v>
      </c>
    </row>
    <row r="79" spans="1:5" x14ac:dyDescent="0.25">
      <c r="A79" s="18" t="s">
        <v>14</v>
      </c>
      <c r="B79" s="6">
        <v>335</v>
      </c>
      <c r="C79" s="5">
        <f t="shared" si="8"/>
        <v>6.0644460535843589E-2</v>
      </c>
    </row>
    <row r="80" spans="1:5" x14ac:dyDescent="0.25">
      <c r="A80" s="18" t="s">
        <v>19</v>
      </c>
      <c r="B80" s="6">
        <v>284</v>
      </c>
      <c r="C80" s="5">
        <f t="shared" si="8"/>
        <v>5.1412020275162923E-2</v>
      </c>
    </row>
    <row r="81" spans="1:8" x14ac:dyDescent="0.25">
      <c r="A81" s="18" t="s">
        <v>17</v>
      </c>
      <c r="B81" s="6">
        <v>233</v>
      </c>
      <c r="C81" s="5">
        <f t="shared" si="8"/>
        <v>4.2179580014482257E-2</v>
      </c>
    </row>
    <row r="82" spans="1:8" x14ac:dyDescent="0.25">
      <c r="A82" s="18" t="s">
        <v>28</v>
      </c>
      <c r="B82" s="6">
        <v>198</v>
      </c>
      <c r="C82" s="5">
        <f t="shared" si="8"/>
        <v>3.5843591600289645E-2</v>
      </c>
    </row>
    <row r="83" spans="1:8" x14ac:dyDescent="0.25">
      <c r="A83" s="18" t="s">
        <v>15</v>
      </c>
      <c r="B83" s="6">
        <v>175</v>
      </c>
      <c r="C83" s="5">
        <f t="shared" si="8"/>
        <v>3.1679942070963071E-2</v>
      </c>
    </row>
    <row r="84" spans="1:8" x14ac:dyDescent="0.25">
      <c r="A84" s="18" t="s">
        <v>20</v>
      </c>
      <c r="B84" s="6">
        <v>152</v>
      </c>
      <c r="C84" s="5">
        <f t="shared" si="8"/>
        <v>2.7516292541636494E-2</v>
      </c>
    </row>
    <row r="85" spans="1:8" x14ac:dyDescent="0.25">
      <c r="A85" s="18" t="s">
        <v>32</v>
      </c>
      <c r="B85" s="6">
        <v>122</v>
      </c>
      <c r="C85" s="5">
        <f t="shared" si="8"/>
        <v>2.2085445329471397E-2</v>
      </c>
    </row>
    <row r="86" spans="1:8" x14ac:dyDescent="0.25">
      <c r="A86" s="18" t="s">
        <v>26</v>
      </c>
      <c r="B86" s="6">
        <v>106</v>
      </c>
      <c r="C86" s="5">
        <f t="shared" si="8"/>
        <v>1.9188993482983346E-2</v>
      </c>
    </row>
    <row r="87" spans="1:8" x14ac:dyDescent="0.25">
      <c r="A87" s="19" t="s">
        <v>33</v>
      </c>
      <c r="B87" s="14">
        <v>390</v>
      </c>
      <c r="C87" s="15">
        <f t="shared" si="8"/>
        <v>7.0601013758146272E-2</v>
      </c>
    </row>
    <row r="88" spans="1:8" ht="15.75" thickBot="1" x14ac:dyDescent="0.3">
      <c r="A88" s="43" t="s">
        <v>5</v>
      </c>
      <c r="B88" s="3">
        <f>SUM(B77:B87)</f>
        <v>5524</v>
      </c>
      <c r="C88" s="2"/>
    </row>
    <row r="89" spans="1:8" ht="15.75" thickBot="1" x14ac:dyDescent="0.3"/>
    <row r="90" spans="1:8" ht="52.5" thickBot="1" x14ac:dyDescent="0.35">
      <c r="A90" s="117" t="s">
        <v>42</v>
      </c>
      <c r="B90" s="118"/>
      <c r="C90" s="119"/>
    </row>
    <row r="91" spans="1:8" x14ac:dyDescent="0.25">
      <c r="A91" s="12" t="s">
        <v>12</v>
      </c>
      <c r="B91" s="4" t="s">
        <v>1</v>
      </c>
      <c r="C91" s="11" t="s">
        <v>2</v>
      </c>
    </row>
    <row r="92" spans="1:8" x14ac:dyDescent="0.25">
      <c r="A92" s="42" t="s">
        <v>13</v>
      </c>
      <c r="B92" s="6">
        <v>1237</v>
      </c>
      <c r="C92" s="5">
        <f t="shared" ref="C92:C102" si="9">B92/$B$103</f>
        <v>0.49919289749798224</v>
      </c>
    </row>
    <row r="93" spans="1:8" x14ac:dyDescent="0.25">
      <c r="A93" s="42" t="s">
        <v>14</v>
      </c>
      <c r="B93" s="6">
        <v>222</v>
      </c>
      <c r="C93" s="5">
        <f t="shared" si="9"/>
        <v>8.9588377723970949E-2</v>
      </c>
      <c r="D93" s="52"/>
      <c r="E93" s="51"/>
      <c r="F93" s="52"/>
      <c r="G93" s="51"/>
      <c r="H93" s="52"/>
    </row>
    <row r="94" spans="1:8" x14ac:dyDescent="0.25">
      <c r="A94" s="42" t="s">
        <v>18</v>
      </c>
      <c r="B94" s="6">
        <v>215</v>
      </c>
      <c r="C94" s="5">
        <f t="shared" si="9"/>
        <v>8.6763518966908801E-2</v>
      </c>
      <c r="D94" s="52"/>
      <c r="E94" s="54"/>
      <c r="F94" s="52"/>
      <c r="G94" s="54"/>
      <c r="H94" s="52"/>
    </row>
    <row r="95" spans="1:8" x14ac:dyDescent="0.25">
      <c r="A95" s="42" t="s">
        <v>19</v>
      </c>
      <c r="B95" s="6">
        <v>201</v>
      </c>
      <c r="C95" s="5">
        <f t="shared" si="9"/>
        <v>8.1113801452784504E-2</v>
      </c>
      <c r="D95" s="52"/>
      <c r="E95" s="54"/>
      <c r="F95" s="52"/>
      <c r="G95" s="54"/>
      <c r="H95" s="52"/>
    </row>
    <row r="96" spans="1:8" x14ac:dyDescent="0.25">
      <c r="A96" s="42" t="s">
        <v>28</v>
      </c>
      <c r="B96" s="6">
        <v>142</v>
      </c>
      <c r="C96" s="5">
        <f t="shared" si="9"/>
        <v>5.7304277643260695E-2</v>
      </c>
    </row>
    <row r="97" spans="1:3" x14ac:dyDescent="0.25">
      <c r="A97" s="42" t="s">
        <v>20</v>
      </c>
      <c r="B97" s="6">
        <v>99</v>
      </c>
      <c r="C97" s="5">
        <f t="shared" si="9"/>
        <v>3.9951573849878935E-2</v>
      </c>
    </row>
    <row r="98" spans="1:3" x14ac:dyDescent="0.25">
      <c r="A98" s="42" t="s">
        <v>17</v>
      </c>
      <c r="B98" s="6">
        <v>80</v>
      </c>
      <c r="C98" s="5">
        <f t="shared" si="9"/>
        <v>3.2284100080710247E-2</v>
      </c>
    </row>
    <row r="99" spans="1:3" x14ac:dyDescent="0.25">
      <c r="A99" s="42" t="s">
        <v>15</v>
      </c>
      <c r="B99" s="6">
        <v>70</v>
      </c>
      <c r="C99" s="5">
        <f t="shared" si="9"/>
        <v>2.8248587570621469E-2</v>
      </c>
    </row>
    <row r="100" spans="1:3" x14ac:dyDescent="0.25">
      <c r="A100" s="42" t="s">
        <v>254</v>
      </c>
      <c r="B100" s="6">
        <v>61</v>
      </c>
      <c r="C100" s="5">
        <f t="shared" si="9"/>
        <v>2.4616626311541566E-2</v>
      </c>
    </row>
    <row r="101" spans="1:3" x14ac:dyDescent="0.25">
      <c r="A101" s="42" t="s">
        <v>21</v>
      </c>
      <c r="B101" s="6">
        <v>57</v>
      </c>
      <c r="C101" s="5">
        <f t="shared" si="9"/>
        <v>2.3002421307506054E-2</v>
      </c>
    </row>
    <row r="102" spans="1:3" x14ac:dyDescent="0.25">
      <c r="A102" s="13" t="s">
        <v>33</v>
      </c>
      <c r="B102" s="14">
        <v>94</v>
      </c>
      <c r="C102" s="15">
        <f t="shared" si="9"/>
        <v>3.7933817594834544E-2</v>
      </c>
    </row>
    <row r="103" spans="1:3" ht="15.75" thickBot="1" x14ac:dyDescent="0.3">
      <c r="A103" s="43" t="s">
        <v>5</v>
      </c>
      <c r="B103" s="3">
        <f>SUM(B92:B102)</f>
        <v>2478</v>
      </c>
      <c r="C103" s="2"/>
    </row>
    <row r="104" spans="1:3" x14ac:dyDescent="0.25">
      <c r="A104" s="49"/>
      <c r="B104" s="6"/>
      <c r="C104" s="49"/>
    </row>
    <row r="105" spans="1:3" x14ac:dyDescent="0.25">
      <c r="A105" s="51" t="s">
        <v>137</v>
      </c>
      <c r="B105" s="52"/>
      <c r="C105" s="51"/>
    </row>
    <row r="106" spans="1:3" x14ac:dyDescent="0.25">
      <c r="A106" s="54" t="s">
        <v>138</v>
      </c>
      <c r="B106" s="52"/>
      <c r="C106" s="54"/>
    </row>
    <row r="107" spans="1:3" x14ac:dyDescent="0.25">
      <c r="A107" s="54" t="s">
        <v>139</v>
      </c>
      <c r="B107" s="52"/>
      <c r="C107" s="54"/>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7"/>
  <sheetViews>
    <sheetView topLeftCell="A87" workbookViewId="0">
      <selection activeCell="E39" sqref="E39:F68"/>
    </sheetView>
  </sheetViews>
  <sheetFormatPr defaultColWidth="8.85546875" defaultRowHeight="15" x14ac:dyDescent="0.25"/>
  <cols>
    <col min="1" max="1" width="26.7109375" style="40" customWidth="1"/>
    <col min="2" max="2" width="10.7109375" style="40" bestFit="1" customWidth="1"/>
    <col min="3" max="3" width="7.85546875" style="40" customWidth="1"/>
    <col min="4" max="4" width="8.85546875" style="40"/>
    <col min="5" max="5" width="33.85546875" style="40" bestFit="1" customWidth="1"/>
    <col min="6" max="6" width="18.42578125" style="40" bestFit="1" customWidth="1"/>
    <col min="7" max="7" width="15" style="40" customWidth="1"/>
    <col min="8" max="8" width="8.85546875" style="40"/>
    <col min="9" max="9" width="25" style="40" bestFit="1" customWidth="1"/>
    <col min="10" max="16384" width="8.85546875" style="40"/>
  </cols>
  <sheetData>
    <row r="1" spans="1:10" ht="21" x14ac:dyDescent="0.35">
      <c r="A1" s="171" t="s">
        <v>255</v>
      </c>
      <c r="B1" s="171"/>
      <c r="C1" s="171"/>
      <c r="D1" s="171"/>
      <c r="E1" s="171"/>
      <c r="F1" s="171"/>
    </row>
    <row r="2" spans="1:10" x14ac:dyDescent="0.25">
      <c r="A2" s="50" t="s">
        <v>135</v>
      </c>
      <c r="B2" s="50"/>
    </row>
    <row r="3" spans="1:10" x14ac:dyDescent="0.25">
      <c r="A3" s="40" t="s">
        <v>136</v>
      </c>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256</v>
      </c>
      <c r="J6" s="44"/>
    </row>
    <row r="7" spans="1:10" x14ac:dyDescent="0.25">
      <c r="A7" s="42" t="s">
        <v>3</v>
      </c>
      <c r="B7" s="6">
        <v>92741</v>
      </c>
      <c r="C7" s="5">
        <f>B7/$B$9</f>
        <v>0.82312061773320311</v>
      </c>
      <c r="E7" s="42" t="s">
        <v>55</v>
      </c>
      <c r="F7" s="6">
        <v>40419</v>
      </c>
      <c r="G7" s="5">
        <f>F7/$F$9</f>
        <v>0.88948306595365423</v>
      </c>
      <c r="I7" s="42" t="s">
        <v>257</v>
      </c>
      <c r="J7" s="44"/>
    </row>
    <row r="8" spans="1:10" x14ac:dyDescent="0.25">
      <c r="A8" s="13" t="s">
        <v>4</v>
      </c>
      <c r="B8" s="14">
        <v>19929</v>
      </c>
      <c r="C8" s="15">
        <f>B8/$B$9</f>
        <v>0.17687938226679684</v>
      </c>
      <c r="E8" s="13" t="s">
        <v>58</v>
      </c>
      <c r="F8" s="14">
        <v>5022</v>
      </c>
      <c r="G8" s="15">
        <f>F8/$F$9</f>
        <v>0.11051693404634581</v>
      </c>
      <c r="I8" s="42" t="s">
        <v>258</v>
      </c>
      <c r="J8" s="44"/>
    </row>
    <row r="9" spans="1:10" ht="15.75" thickBot="1" x14ac:dyDescent="0.3">
      <c r="A9" s="43" t="s">
        <v>5</v>
      </c>
      <c r="B9" s="3">
        <f>SUM(B7:B8)</f>
        <v>112670</v>
      </c>
      <c r="C9" s="2"/>
      <c r="E9" s="43" t="s">
        <v>5</v>
      </c>
      <c r="F9" s="3">
        <f>SUM(F7:F8)</f>
        <v>45441</v>
      </c>
      <c r="G9" s="2"/>
      <c r="I9" s="42" t="s">
        <v>259</v>
      </c>
      <c r="J9" s="44"/>
    </row>
    <row r="10" spans="1:10" x14ac:dyDescent="0.25">
      <c r="A10" s="40" t="s">
        <v>260</v>
      </c>
      <c r="E10" s="40" t="s">
        <v>148</v>
      </c>
      <c r="I10" s="42" t="s">
        <v>261</v>
      </c>
      <c r="J10" s="44"/>
    </row>
    <row r="11" spans="1:10" ht="15.75" thickBot="1" x14ac:dyDescent="0.3">
      <c r="I11" s="42" t="s">
        <v>262</v>
      </c>
      <c r="J11" s="44"/>
    </row>
    <row r="12" spans="1:10" ht="35.25" thickBot="1" x14ac:dyDescent="0.35">
      <c r="A12" s="158" t="s">
        <v>35</v>
      </c>
      <c r="B12" s="159"/>
      <c r="C12" s="160"/>
      <c r="E12" s="117" t="s">
        <v>56</v>
      </c>
      <c r="F12" s="118"/>
      <c r="G12" s="119"/>
      <c r="I12" s="42"/>
      <c r="J12" s="44"/>
    </row>
    <row r="13" spans="1:10" x14ac:dyDescent="0.25">
      <c r="A13" s="12" t="s">
        <v>6</v>
      </c>
      <c r="B13" s="4" t="s">
        <v>7</v>
      </c>
      <c r="C13" s="11" t="s">
        <v>2</v>
      </c>
      <c r="E13" s="12" t="s">
        <v>6</v>
      </c>
      <c r="F13" s="4" t="s">
        <v>7</v>
      </c>
      <c r="G13" s="11" t="s">
        <v>2</v>
      </c>
      <c r="I13" s="42"/>
      <c r="J13" s="44"/>
    </row>
    <row r="14" spans="1:10" x14ac:dyDescent="0.25">
      <c r="A14" s="42" t="s">
        <v>36</v>
      </c>
      <c r="B14" s="6">
        <v>18728</v>
      </c>
      <c r="C14" s="5">
        <f>B14/$B$21</f>
        <v>0.16621993432146978</v>
      </c>
      <c r="E14" s="42" t="s">
        <v>36</v>
      </c>
      <c r="F14" s="6">
        <v>3854</v>
      </c>
      <c r="G14" s="5">
        <f t="shared" ref="G14:G19" si="0">F14/$F$20</f>
        <v>0.13115535136974646</v>
      </c>
      <c r="I14" s="42"/>
      <c r="J14" s="44"/>
    </row>
    <row r="15" spans="1:10" x14ac:dyDescent="0.25">
      <c r="A15" s="42" t="s">
        <v>37</v>
      </c>
      <c r="B15" s="6">
        <v>21867</v>
      </c>
      <c r="C15" s="5">
        <f t="shared" ref="C15:C20" si="1">B15/$B$21</f>
        <v>0.19408005680305315</v>
      </c>
      <c r="E15" s="42" t="s">
        <v>37</v>
      </c>
      <c r="F15" s="6">
        <v>5625</v>
      </c>
      <c r="G15" s="5">
        <f t="shared" si="0"/>
        <v>0.19142419601837674</v>
      </c>
      <c r="I15" s="42"/>
      <c r="J15" s="44"/>
    </row>
    <row r="16" spans="1:10" x14ac:dyDescent="0.25">
      <c r="A16" s="42" t="s">
        <v>38</v>
      </c>
      <c r="B16" s="6">
        <v>16522</v>
      </c>
      <c r="C16" s="5">
        <f t="shared" si="1"/>
        <v>0.14664063193396645</v>
      </c>
      <c r="E16" s="42" t="s">
        <v>38</v>
      </c>
      <c r="F16" s="6">
        <v>4318</v>
      </c>
      <c r="G16" s="5">
        <f t="shared" si="0"/>
        <v>0.14694572060575123</v>
      </c>
      <c r="I16" s="42"/>
      <c r="J16" s="44"/>
    </row>
    <row r="17" spans="1:10" x14ac:dyDescent="0.25">
      <c r="A17" s="42" t="s">
        <v>39</v>
      </c>
      <c r="B17" s="6">
        <v>13370</v>
      </c>
      <c r="C17" s="5">
        <f t="shared" si="1"/>
        <v>0.11866512825064347</v>
      </c>
      <c r="E17" s="42" t="s">
        <v>39</v>
      </c>
      <c r="F17" s="6">
        <v>3432</v>
      </c>
      <c r="G17" s="5">
        <f t="shared" si="0"/>
        <v>0.11679428279734558</v>
      </c>
      <c r="I17" s="42"/>
      <c r="J17" s="44"/>
    </row>
    <row r="18" spans="1:10" x14ac:dyDescent="0.25">
      <c r="A18" s="42" t="s">
        <v>40</v>
      </c>
      <c r="B18" s="6">
        <v>13815</v>
      </c>
      <c r="C18" s="5">
        <f t="shared" si="1"/>
        <v>0.12261471554096033</v>
      </c>
      <c r="E18" s="42" t="s">
        <v>40</v>
      </c>
      <c r="F18" s="6">
        <v>3771</v>
      </c>
      <c r="G18" s="5">
        <f t="shared" si="0"/>
        <v>0.12833078101071976</v>
      </c>
      <c r="I18" s="42"/>
      <c r="J18" s="44"/>
    </row>
    <row r="19" spans="1:10" x14ac:dyDescent="0.25">
      <c r="A19" s="42" t="s">
        <v>8</v>
      </c>
      <c r="B19" s="6">
        <v>27478</v>
      </c>
      <c r="C19" s="5">
        <f t="shared" si="1"/>
        <v>0.24388035856927309</v>
      </c>
      <c r="E19" s="13" t="s">
        <v>8</v>
      </c>
      <c r="F19" s="14">
        <v>8385</v>
      </c>
      <c r="G19" s="15">
        <f t="shared" si="0"/>
        <v>0.28534966819806024</v>
      </c>
      <c r="I19" s="42"/>
      <c r="J19" s="44"/>
    </row>
    <row r="20" spans="1:10" ht="15.75" thickBot="1" x14ac:dyDescent="0.3">
      <c r="A20" s="13" t="s">
        <v>9</v>
      </c>
      <c r="B20" s="14">
        <v>890</v>
      </c>
      <c r="C20" s="15">
        <f t="shared" si="1"/>
        <v>7.8991745806337096E-3</v>
      </c>
      <c r="E20" s="43" t="s">
        <v>5</v>
      </c>
      <c r="F20" s="3">
        <f>SUM(F14:F19)</f>
        <v>29385</v>
      </c>
      <c r="G20" s="2"/>
      <c r="I20" s="42"/>
      <c r="J20" s="44"/>
    </row>
    <row r="21" spans="1:10" ht="15.75" thickBot="1" x14ac:dyDescent="0.3">
      <c r="A21" s="43" t="s">
        <v>5</v>
      </c>
      <c r="B21" s="3">
        <f>SUM(B14:B20)</f>
        <v>112670</v>
      </c>
      <c r="C21" s="2"/>
      <c r="E21" s="55" t="s">
        <v>140</v>
      </c>
      <c r="I21" s="42"/>
      <c r="J21" s="44"/>
    </row>
    <row r="22" spans="1:10" ht="15.75" thickBot="1" x14ac:dyDescent="0.3">
      <c r="A22" s="40" t="s">
        <v>260</v>
      </c>
      <c r="I22" s="42"/>
      <c r="J22" s="44"/>
    </row>
    <row r="23" spans="1:10" ht="52.5" thickBot="1" x14ac:dyDescent="0.35">
      <c r="E23" s="117" t="s">
        <v>57</v>
      </c>
      <c r="F23" s="118"/>
      <c r="G23" s="119"/>
      <c r="I23" s="42"/>
      <c r="J23" s="44"/>
    </row>
    <row r="24" spans="1:10" ht="18" thickBot="1" x14ac:dyDescent="0.35">
      <c r="A24" s="158" t="s">
        <v>10</v>
      </c>
      <c r="B24" s="159"/>
      <c r="C24" s="160"/>
      <c r="E24" s="12" t="s">
        <v>6</v>
      </c>
      <c r="F24" s="4" t="s">
        <v>7</v>
      </c>
      <c r="G24" s="11" t="s">
        <v>2</v>
      </c>
      <c r="I24" s="42"/>
      <c r="J24" s="44"/>
    </row>
    <row r="25" spans="1:10" x14ac:dyDescent="0.25">
      <c r="A25" s="12" t="s">
        <v>6</v>
      </c>
      <c r="B25" s="4" t="s">
        <v>7</v>
      </c>
      <c r="C25" s="11" t="s">
        <v>2</v>
      </c>
      <c r="E25" s="42" t="s">
        <v>36</v>
      </c>
      <c r="F25" s="6">
        <v>804</v>
      </c>
      <c r="G25" s="5">
        <f t="shared" ref="G25:G30" si="2">F25/$F$31</f>
        <v>0.27936066712995133</v>
      </c>
      <c r="I25" s="42"/>
      <c r="J25" s="44"/>
    </row>
    <row r="26" spans="1:10" x14ac:dyDescent="0.25">
      <c r="A26" s="42" t="s">
        <v>36</v>
      </c>
      <c r="B26" s="6">
        <v>5065</v>
      </c>
      <c r="C26" s="5">
        <f>B26/$B$33</f>
        <v>0.25415224045361029</v>
      </c>
      <c r="E26" s="42" t="s">
        <v>37</v>
      </c>
      <c r="F26" s="6">
        <v>1178</v>
      </c>
      <c r="G26" s="5">
        <f t="shared" si="2"/>
        <v>0.40931202223766505</v>
      </c>
      <c r="I26" s="42"/>
      <c r="J26" s="44"/>
    </row>
    <row r="27" spans="1:10" x14ac:dyDescent="0.25">
      <c r="A27" s="42" t="s">
        <v>37</v>
      </c>
      <c r="B27" s="6">
        <v>6471</v>
      </c>
      <c r="C27" s="5">
        <f t="shared" ref="C27:C32" si="3">B27/$B$33</f>
        <v>0.32470269456570827</v>
      </c>
      <c r="E27" s="42" t="s">
        <v>38</v>
      </c>
      <c r="F27" s="6">
        <v>502</v>
      </c>
      <c r="G27" s="5">
        <f t="shared" si="2"/>
        <v>0.17442668519805421</v>
      </c>
      <c r="I27" s="42"/>
      <c r="J27" s="44"/>
    </row>
    <row r="28" spans="1:10" x14ac:dyDescent="0.25">
      <c r="A28" s="42" t="s">
        <v>38</v>
      </c>
      <c r="B28" s="6">
        <v>3377</v>
      </c>
      <c r="C28" s="5">
        <f t="shared" si="3"/>
        <v>0.16945155301319684</v>
      </c>
      <c r="E28" s="42" t="s">
        <v>39</v>
      </c>
      <c r="F28" s="6">
        <v>149</v>
      </c>
      <c r="G28" s="5">
        <f t="shared" si="2"/>
        <v>5.1772063933287003E-2</v>
      </c>
      <c r="I28" s="42"/>
      <c r="J28" s="44"/>
    </row>
    <row r="29" spans="1:10" x14ac:dyDescent="0.25">
      <c r="A29" s="42" t="s">
        <v>39</v>
      </c>
      <c r="B29" s="6">
        <v>2029</v>
      </c>
      <c r="C29" s="5">
        <f t="shared" si="3"/>
        <v>0.10181143057855387</v>
      </c>
      <c r="E29" s="42" t="s">
        <v>40</v>
      </c>
      <c r="F29" s="6">
        <v>116</v>
      </c>
      <c r="G29" s="5">
        <f t="shared" si="2"/>
        <v>4.030576789437109E-2</v>
      </c>
      <c r="I29" s="42"/>
      <c r="J29" s="44"/>
    </row>
    <row r="30" spans="1:10" x14ac:dyDescent="0.25">
      <c r="A30" s="42" t="s">
        <v>40</v>
      </c>
      <c r="B30" s="6">
        <v>1378</v>
      </c>
      <c r="C30" s="5">
        <f t="shared" si="3"/>
        <v>6.9145466405740375E-2</v>
      </c>
      <c r="E30" s="13" t="s">
        <v>8</v>
      </c>
      <c r="F30" s="14">
        <v>129</v>
      </c>
      <c r="G30" s="15">
        <f t="shared" si="2"/>
        <v>4.4822793606671296E-2</v>
      </c>
      <c r="I30" s="42"/>
      <c r="J30" s="44"/>
    </row>
    <row r="31" spans="1:10" ht="15.75" thickBot="1" x14ac:dyDescent="0.3">
      <c r="A31" s="42" t="s">
        <v>8</v>
      </c>
      <c r="B31" s="6">
        <v>1500</v>
      </c>
      <c r="C31" s="5">
        <f t="shared" si="3"/>
        <v>7.5267198554869783E-2</v>
      </c>
      <c r="E31" s="43" t="s">
        <v>5</v>
      </c>
      <c r="F31" s="3">
        <f>SUM(F25:F30)</f>
        <v>2878</v>
      </c>
      <c r="G31" s="2"/>
      <c r="I31" s="43"/>
      <c r="J31" s="2"/>
    </row>
    <row r="32" spans="1:10" ht="15.75" thickBot="1" x14ac:dyDescent="0.3">
      <c r="A32" s="13" t="s">
        <v>9</v>
      </c>
      <c r="B32" s="14">
        <v>109</v>
      </c>
      <c r="C32" s="15">
        <f t="shared" si="3"/>
        <v>5.4694164283205383E-3</v>
      </c>
    </row>
    <row r="33" spans="1:7" ht="52.5" thickBot="1" x14ac:dyDescent="0.35">
      <c r="A33" s="43" t="s">
        <v>5</v>
      </c>
      <c r="B33" s="3">
        <f>SUM(B26:B32)</f>
        <v>19929</v>
      </c>
      <c r="C33" s="2"/>
      <c r="E33" s="117" t="s">
        <v>59</v>
      </c>
      <c r="F33" s="118"/>
      <c r="G33" s="119"/>
    </row>
    <row r="34" spans="1:7" ht="15.75" thickBot="1" x14ac:dyDescent="0.3">
      <c r="E34" s="12" t="s">
        <v>6</v>
      </c>
      <c r="F34" s="4" t="s">
        <v>7</v>
      </c>
      <c r="G34" s="11" t="s">
        <v>2</v>
      </c>
    </row>
    <row r="35" spans="1:7" ht="32.25" customHeight="1" thickBot="1" x14ac:dyDescent="0.35">
      <c r="A35" s="186" t="s">
        <v>158</v>
      </c>
      <c r="B35" s="187"/>
      <c r="C35" s="188"/>
      <c r="E35" s="42" t="s">
        <v>36</v>
      </c>
      <c r="F35" s="6">
        <f>F25</f>
        <v>804</v>
      </c>
      <c r="G35" s="5">
        <f>F35/$F$37</f>
        <v>0.40565085771947529</v>
      </c>
    </row>
    <row r="36" spans="1:7" x14ac:dyDescent="0.25">
      <c r="A36" s="12" t="s">
        <v>0</v>
      </c>
      <c r="B36" s="4" t="s">
        <v>1</v>
      </c>
      <c r="C36" s="11" t="s">
        <v>2</v>
      </c>
      <c r="E36" s="13" t="s">
        <v>37</v>
      </c>
      <c r="F36" s="14">
        <f>F26</f>
        <v>1178</v>
      </c>
      <c r="G36" s="15">
        <f>F36/$F$37</f>
        <v>0.59434914228052471</v>
      </c>
    </row>
    <row r="37" spans="1:7" ht="15.75" thickBot="1" x14ac:dyDescent="0.3">
      <c r="A37" s="42" t="s">
        <v>3</v>
      </c>
      <c r="B37" s="6">
        <v>13663</v>
      </c>
      <c r="C37" s="5">
        <v>0.73</v>
      </c>
      <c r="E37" s="43" t="s">
        <v>5</v>
      </c>
      <c r="F37" s="3">
        <f>SUM(F35:F36)</f>
        <v>1982</v>
      </c>
      <c r="G37" s="2"/>
    </row>
    <row r="38" spans="1:7" ht="15.75" thickBot="1" x14ac:dyDescent="0.3">
      <c r="A38" s="13" t="s">
        <v>4</v>
      </c>
      <c r="B38" s="14">
        <v>5065</v>
      </c>
      <c r="C38" s="15">
        <v>0.27</v>
      </c>
    </row>
    <row r="39" spans="1:7" ht="52.5" thickBot="1" x14ac:dyDescent="0.35">
      <c r="A39" s="43" t="s">
        <v>5</v>
      </c>
      <c r="B39" s="3">
        <v>18728</v>
      </c>
      <c r="C39" s="48"/>
      <c r="E39" s="117" t="s">
        <v>60</v>
      </c>
      <c r="F39" s="118"/>
      <c r="G39" s="119"/>
    </row>
    <row r="40" spans="1:7" ht="15.75" thickBot="1" x14ac:dyDescent="0.3">
      <c r="E40" s="12" t="s">
        <v>12</v>
      </c>
      <c r="F40" s="4" t="s">
        <v>1</v>
      </c>
      <c r="G40" s="11" t="s">
        <v>2</v>
      </c>
    </row>
    <row r="41" spans="1:7" ht="18" thickBot="1" x14ac:dyDescent="0.35">
      <c r="A41" s="158" t="s">
        <v>154</v>
      </c>
      <c r="B41" s="159"/>
      <c r="C41" s="160"/>
      <c r="E41" s="42" t="s">
        <v>13</v>
      </c>
      <c r="F41" s="6">
        <v>1713</v>
      </c>
      <c r="G41" s="5">
        <f t="shared" ref="G41:G51" si="4">F41/$F$52</f>
        <v>0.59520500347463512</v>
      </c>
    </row>
    <row r="42" spans="1:7" x14ac:dyDescent="0.25">
      <c r="A42" s="12" t="s">
        <v>0</v>
      </c>
      <c r="B42" s="4" t="s">
        <v>1</v>
      </c>
      <c r="C42" s="11" t="s">
        <v>2</v>
      </c>
      <c r="E42" s="42" t="s">
        <v>18</v>
      </c>
      <c r="F42" s="6">
        <v>299</v>
      </c>
      <c r="G42" s="5">
        <f t="shared" si="4"/>
        <v>0.1038915913829048</v>
      </c>
    </row>
    <row r="43" spans="1:7" x14ac:dyDescent="0.25">
      <c r="A43" s="42" t="s">
        <v>3</v>
      </c>
      <c r="B43" s="6">
        <v>15396</v>
      </c>
      <c r="C43" s="5">
        <v>0.70399999999999996</v>
      </c>
      <c r="E43" s="42" t="s">
        <v>133</v>
      </c>
      <c r="F43" s="6">
        <v>264</v>
      </c>
      <c r="G43" s="5">
        <f t="shared" si="4"/>
        <v>9.1730368311327304E-2</v>
      </c>
    </row>
    <row r="44" spans="1:7" x14ac:dyDescent="0.25">
      <c r="A44" s="13" t="s">
        <v>4</v>
      </c>
      <c r="B44" s="14">
        <v>6471</v>
      </c>
      <c r="C44" s="15">
        <v>0.29599999999999999</v>
      </c>
      <c r="E44" s="42" t="s">
        <v>17</v>
      </c>
      <c r="F44" s="6">
        <v>98</v>
      </c>
      <c r="G44" s="5">
        <f t="shared" si="4"/>
        <v>3.4051424600416956E-2</v>
      </c>
    </row>
    <row r="45" spans="1:7" ht="15.75" thickBot="1" x14ac:dyDescent="0.3">
      <c r="A45" s="43" t="s">
        <v>5</v>
      </c>
      <c r="B45" s="3">
        <v>21867</v>
      </c>
      <c r="C45" s="2"/>
      <c r="E45" s="42" t="s">
        <v>14</v>
      </c>
      <c r="F45" s="6">
        <v>90</v>
      </c>
      <c r="G45" s="5">
        <f t="shared" si="4"/>
        <v>3.1271716469770672E-2</v>
      </c>
    </row>
    <row r="46" spans="1:7" ht="15.75" thickBot="1" x14ac:dyDescent="0.3">
      <c r="E46" s="42" t="s">
        <v>20</v>
      </c>
      <c r="F46" s="6">
        <v>90</v>
      </c>
      <c r="G46" s="5">
        <f t="shared" si="4"/>
        <v>3.1271716469770672E-2</v>
      </c>
    </row>
    <row r="47" spans="1:7" ht="18" thickBot="1" x14ac:dyDescent="0.35">
      <c r="A47" s="154" t="s">
        <v>41</v>
      </c>
      <c r="B47" s="155"/>
      <c r="C47" s="156"/>
      <c r="E47" s="42" t="s">
        <v>28</v>
      </c>
      <c r="F47" s="6">
        <v>54</v>
      </c>
      <c r="G47" s="5">
        <f t="shared" si="4"/>
        <v>1.8763029881862403E-2</v>
      </c>
    </row>
    <row r="48" spans="1:7" x14ac:dyDescent="0.25">
      <c r="A48" s="12" t="s">
        <v>6</v>
      </c>
      <c r="B48" s="4" t="s">
        <v>7</v>
      </c>
      <c r="C48" s="11" t="s">
        <v>2</v>
      </c>
      <c r="E48" s="42" t="s">
        <v>19</v>
      </c>
      <c r="F48" s="6">
        <v>49</v>
      </c>
      <c r="G48" s="5">
        <f t="shared" si="4"/>
        <v>1.7025712300208478E-2</v>
      </c>
    </row>
    <row r="49" spans="1:49" x14ac:dyDescent="0.25">
      <c r="A49" s="42" t="s">
        <v>36</v>
      </c>
      <c r="B49" s="6">
        <f>B26</f>
        <v>5065</v>
      </c>
      <c r="C49" s="5">
        <f>B49/$B$51</f>
        <v>0.43906033287101248</v>
      </c>
      <c r="E49" s="42" t="s">
        <v>15</v>
      </c>
      <c r="F49" s="6">
        <v>36</v>
      </c>
      <c r="G49" s="5">
        <f t="shared" si="4"/>
        <v>1.250868658790827E-2</v>
      </c>
    </row>
    <row r="50" spans="1:49" x14ac:dyDescent="0.25">
      <c r="A50" s="13" t="s">
        <v>37</v>
      </c>
      <c r="B50" s="14">
        <f>B27</f>
        <v>6471</v>
      </c>
      <c r="C50" s="15">
        <f>B50/$B$51</f>
        <v>0.56093966712898746</v>
      </c>
      <c r="E50" s="42" t="s">
        <v>126</v>
      </c>
      <c r="F50" s="6">
        <v>34</v>
      </c>
      <c r="G50" s="5">
        <f t="shared" si="4"/>
        <v>1.1813759555246699E-2</v>
      </c>
    </row>
    <row r="51" spans="1:49" ht="15.75" thickBot="1" x14ac:dyDescent="0.3">
      <c r="A51" s="43" t="s">
        <v>5</v>
      </c>
      <c r="B51" s="3">
        <f>SUM(B49:B50)</f>
        <v>11536</v>
      </c>
      <c r="C51" s="2"/>
      <c r="E51" s="13" t="s">
        <v>33</v>
      </c>
      <c r="F51" s="14">
        <v>151</v>
      </c>
      <c r="G51" s="15">
        <f t="shared" si="4"/>
        <v>5.2466990965948576E-2</v>
      </c>
    </row>
    <row r="52" spans="1:49" s="41" customFormat="1" ht="15.75" thickBot="1" x14ac:dyDescent="0.3">
      <c r="A52" s="40"/>
      <c r="B52" s="40"/>
      <c r="C52" s="40"/>
      <c r="D52" s="40"/>
      <c r="E52" s="43" t="s">
        <v>5</v>
      </c>
      <c r="F52" s="3">
        <f>SUM(F41:F51)</f>
        <v>2878</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row>
    <row r="53" spans="1:49" ht="18" thickBot="1" x14ac:dyDescent="0.35">
      <c r="A53" s="120" t="s">
        <v>44</v>
      </c>
      <c r="B53" s="121"/>
      <c r="C53" s="122"/>
      <c r="E53" s="56" t="s">
        <v>141</v>
      </c>
    </row>
    <row r="54" spans="1:49" ht="15.75" thickBot="1" x14ac:dyDescent="0.3">
      <c r="A54" s="12" t="s">
        <v>45</v>
      </c>
      <c r="B54" s="4" t="s">
        <v>7</v>
      </c>
      <c r="C54" s="11" t="s">
        <v>2</v>
      </c>
      <c r="D54" s="41"/>
      <c r="E54" s="57"/>
    </row>
    <row r="55" spans="1:49" ht="69.75" thickBot="1" x14ac:dyDescent="0.35">
      <c r="A55" s="42" t="s">
        <v>46</v>
      </c>
      <c r="B55" s="6">
        <v>1341</v>
      </c>
      <c r="C55" s="5">
        <f t="shared" ref="C55:C61" si="5">B55/$B$62</f>
        <v>6.7288875508053597E-2</v>
      </c>
      <c r="E55" s="117" t="s">
        <v>61</v>
      </c>
      <c r="F55" s="118"/>
      <c r="G55" s="119"/>
    </row>
    <row r="56" spans="1:49" ht="32.25" customHeight="1" x14ac:dyDescent="0.25">
      <c r="A56" s="42" t="s">
        <v>47</v>
      </c>
      <c r="B56" s="6">
        <v>2439</v>
      </c>
      <c r="C56" s="5">
        <f t="shared" si="5"/>
        <v>0.12238446485021827</v>
      </c>
      <c r="E56" s="12" t="s">
        <v>12</v>
      </c>
      <c r="F56" s="4" t="s">
        <v>1</v>
      </c>
      <c r="G56" s="11" t="s">
        <v>2</v>
      </c>
    </row>
    <row r="57" spans="1:49" x14ac:dyDescent="0.25">
      <c r="A57" s="42" t="s">
        <v>48</v>
      </c>
      <c r="B57" s="6">
        <v>4308</v>
      </c>
      <c r="C57" s="5">
        <f t="shared" si="5"/>
        <v>0.21616739424958603</v>
      </c>
      <c r="E57" s="42" t="s">
        <v>13</v>
      </c>
      <c r="F57" s="6">
        <v>1261</v>
      </c>
      <c r="G57" s="5">
        <f t="shared" ref="G57:G67" si="6">F57/$F$68</f>
        <v>0.636226034308779</v>
      </c>
    </row>
    <row r="58" spans="1:49" x14ac:dyDescent="0.25">
      <c r="A58" s="42" t="s">
        <v>49</v>
      </c>
      <c r="B58" s="6">
        <v>3442</v>
      </c>
      <c r="C58" s="5">
        <f t="shared" si="5"/>
        <v>0.17271313161724119</v>
      </c>
      <c r="E58" s="42" t="s">
        <v>18</v>
      </c>
      <c r="F58" s="6">
        <v>227</v>
      </c>
      <c r="G58" s="5">
        <f t="shared" si="6"/>
        <v>0.11453077699293643</v>
      </c>
    </row>
    <row r="59" spans="1:49" x14ac:dyDescent="0.25">
      <c r="A59" s="42" t="s">
        <v>50</v>
      </c>
      <c r="B59" s="6">
        <v>3355</v>
      </c>
      <c r="C59" s="5">
        <f t="shared" si="5"/>
        <v>0.16834763410105877</v>
      </c>
      <c r="E59" s="42" t="s">
        <v>133</v>
      </c>
      <c r="F59" s="6">
        <v>178</v>
      </c>
      <c r="G59" s="5">
        <f t="shared" si="6"/>
        <v>8.9808274470232083E-2</v>
      </c>
    </row>
    <row r="60" spans="1:49" x14ac:dyDescent="0.25">
      <c r="A60" s="42" t="s">
        <v>51</v>
      </c>
      <c r="B60" s="6">
        <v>2213</v>
      </c>
      <c r="C60" s="5">
        <f t="shared" si="5"/>
        <v>0.11104420693461789</v>
      </c>
      <c r="E60" s="42" t="s">
        <v>20</v>
      </c>
      <c r="F60" s="6">
        <v>78</v>
      </c>
      <c r="G60" s="5">
        <f t="shared" si="6"/>
        <v>3.9354187689202826E-2</v>
      </c>
    </row>
    <row r="61" spans="1:49" x14ac:dyDescent="0.25">
      <c r="A61" s="13" t="s">
        <v>52</v>
      </c>
      <c r="B61" s="14">
        <v>2831</v>
      </c>
      <c r="C61" s="15">
        <f t="shared" si="5"/>
        <v>0.14205429273922424</v>
      </c>
      <c r="E61" s="42" t="s">
        <v>17</v>
      </c>
      <c r="F61" s="6">
        <v>36</v>
      </c>
      <c r="G61" s="5">
        <f t="shared" si="6"/>
        <v>1.8163471241170535E-2</v>
      </c>
    </row>
    <row r="62" spans="1:49" ht="15.75" thickBot="1" x14ac:dyDescent="0.3">
      <c r="A62" s="43" t="s">
        <v>5</v>
      </c>
      <c r="B62" s="3">
        <f>SUM(B55:B61)</f>
        <v>19929</v>
      </c>
      <c r="C62" s="2"/>
      <c r="E62" s="42" t="s">
        <v>126</v>
      </c>
      <c r="F62" s="6">
        <v>34</v>
      </c>
      <c r="G62" s="5">
        <f t="shared" si="6"/>
        <v>1.7154389505549948E-2</v>
      </c>
    </row>
    <row r="63" spans="1:49" ht="15.75" thickBot="1" x14ac:dyDescent="0.3">
      <c r="E63" s="42" t="s">
        <v>14</v>
      </c>
      <c r="F63" s="6">
        <v>30</v>
      </c>
      <c r="G63" s="5">
        <f t="shared" si="6"/>
        <v>1.5136226034308779E-2</v>
      </c>
    </row>
    <row r="64" spans="1:49" ht="52.5" thickBot="1" x14ac:dyDescent="0.35">
      <c r="A64" s="117" t="s">
        <v>53</v>
      </c>
      <c r="B64" s="118"/>
      <c r="C64" s="119"/>
      <c r="E64" s="42" t="s">
        <v>263</v>
      </c>
      <c r="F64" s="6">
        <v>22</v>
      </c>
      <c r="G64" s="5">
        <f t="shared" si="6"/>
        <v>1.1099899091826439E-2</v>
      </c>
    </row>
    <row r="65" spans="1:7" x14ac:dyDescent="0.25">
      <c r="A65" s="12" t="s">
        <v>45</v>
      </c>
      <c r="B65" s="4" t="s">
        <v>7</v>
      </c>
      <c r="C65" s="11" t="s">
        <v>2</v>
      </c>
      <c r="E65" s="42" t="s">
        <v>23</v>
      </c>
      <c r="F65" s="6">
        <v>19</v>
      </c>
      <c r="G65" s="5">
        <f t="shared" si="6"/>
        <v>9.5862764883955596E-3</v>
      </c>
    </row>
    <row r="66" spans="1:7" x14ac:dyDescent="0.25">
      <c r="A66" s="42" t="s">
        <v>46</v>
      </c>
      <c r="B66" s="6">
        <v>885</v>
      </c>
      <c r="C66" s="5">
        <f t="shared" ref="C66:C72" si="7">B66/$B$73</f>
        <v>7.6716366158113725E-2</v>
      </c>
      <c r="E66" s="42" t="s">
        <v>22</v>
      </c>
      <c r="F66" s="6">
        <v>19</v>
      </c>
      <c r="G66" s="5">
        <f t="shared" si="6"/>
        <v>9.5862764883955596E-3</v>
      </c>
    </row>
    <row r="67" spans="1:7" x14ac:dyDescent="0.25">
      <c r="A67" s="42" t="s">
        <v>47</v>
      </c>
      <c r="B67" s="6">
        <v>1757</v>
      </c>
      <c r="C67" s="5">
        <f t="shared" si="7"/>
        <v>0.15230582524271843</v>
      </c>
      <c r="E67" s="13" t="s">
        <v>33</v>
      </c>
      <c r="F67" s="14">
        <v>78</v>
      </c>
      <c r="G67" s="15">
        <f t="shared" si="6"/>
        <v>3.9354187689202826E-2</v>
      </c>
    </row>
    <row r="68" spans="1:7" ht="15.75" thickBot="1" x14ac:dyDescent="0.3">
      <c r="A68" s="42" t="s">
        <v>48</v>
      </c>
      <c r="B68" s="6">
        <v>2743</v>
      </c>
      <c r="C68" s="5">
        <f t="shared" si="7"/>
        <v>0.23777739251040222</v>
      </c>
      <c r="E68" s="43" t="s">
        <v>5</v>
      </c>
      <c r="F68" s="3">
        <f>SUM(F57:F67)</f>
        <v>1982</v>
      </c>
      <c r="G68" s="2"/>
    </row>
    <row r="69" spans="1:7" x14ac:dyDescent="0.25">
      <c r="A69" s="42" t="s">
        <v>49</v>
      </c>
      <c r="B69" s="6">
        <v>1771</v>
      </c>
      <c r="C69" s="5">
        <f t="shared" si="7"/>
        <v>0.15351941747572814</v>
      </c>
      <c r="E69" s="40" t="s">
        <v>141</v>
      </c>
    </row>
    <row r="70" spans="1:7" x14ac:dyDescent="0.25">
      <c r="A70" s="42" t="s">
        <v>50</v>
      </c>
      <c r="B70" s="6">
        <v>1620</v>
      </c>
      <c r="C70" s="5">
        <f t="shared" si="7"/>
        <v>0.14042995839112343</v>
      </c>
    </row>
    <row r="71" spans="1:7" x14ac:dyDescent="0.25">
      <c r="A71" s="42" t="s">
        <v>51</v>
      </c>
      <c r="B71" s="6">
        <v>985</v>
      </c>
      <c r="C71" s="5">
        <f t="shared" si="7"/>
        <v>8.5384882108183083E-2</v>
      </c>
      <c r="E71" s="40" t="s">
        <v>142</v>
      </c>
    </row>
    <row r="72" spans="1:7" x14ac:dyDescent="0.25">
      <c r="A72" s="13" t="s">
        <v>52</v>
      </c>
      <c r="B72" s="14">
        <v>1775</v>
      </c>
      <c r="C72" s="15">
        <f t="shared" si="7"/>
        <v>0.15386615811373092</v>
      </c>
    </row>
    <row r="73" spans="1:7" ht="15.75" thickBot="1" x14ac:dyDescent="0.3">
      <c r="A73" s="43" t="s">
        <v>5</v>
      </c>
      <c r="B73" s="3">
        <f>SUM(B66:B72)</f>
        <v>11536</v>
      </c>
      <c r="C73" s="2"/>
    </row>
    <row r="74" spans="1:7" ht="15.75" thickBot="1" x14ac:dyDescent="0.3"/>
    <row r="75" spans="1:7" ht="18" thickBot="1" x14ac:dyDescent="0.35">
      <c r="A75" s="158" t="s">
        <v>11</v>
      </c>
      <c r="B75" s="159"/>
      <c r="C75" s="160"/>
    </row>
    <row r="76" spans="1:7" x14ac:dyDescent="0.25">
      <c r="A76" s="12" t="s">
        <v>12</v>
      </c>
      <c r="B76" s="4" t="s">
        <v>1</v>
      </c>
      <c r="C76" s="11" t="s">
        <v>2</v>
      </c>
    </row>
    <row r="77" spans="1:7" x14ac:dyDescent="0.25">
      <c r="A77" s="18" t="s">
        <v>13</v>
      </c>
      <c r="B77" s="6">
        <v>12170</v>
      </c>
      <c r="C77" s="5">
        <f t="shared" ref="C77:C87" si="8">B77/$B$88</f>
        <v>0.61066787094184349</v>
      </c>
    </row>
    <row r="78" spans="1:7" x14ac:dyDescent="0.25">
      <c r="A78" s="18" t="s">
        <v>21</v>
      </c>
      <c r="B78" s="6">
        <v>1845</v>
      </c>
      <c r="C78" s="5">
        <f t="shared" si="8"/>
        <v>9.2578654222489842E-2</v>
      </c>
    </row>
    <row r="79" spans="1:7" x14ac:dyDescent="0.25">
      <c r="A79" s="18" t="s">
        <v>18</v>
      </c>
      <c r="B79" s="6">
        <v>1217</v>
      </c>
      <c r="C79" s="5">
        <f t="shared" si="8"/>
        <v>6.1066787094184352E-2</v>
      </c>
    </row>
    <row r="80" spans="1:7" x14ac:dyDescent="0.25">
      <c r="A80" s="18" t="s">
        <v>14</v>
      </c>
      <c r="B80" s="6">
        <v>706</v>
      </c>
      <c r="C80" s="5">
        <f t="shared" si="8"/>
        <v>3.5425761453158712E-2</v>
      </c>
    </row>
    <row r="81" spans="1:6" x14ac:dyDescent="0.25">
      <c r="A81" s="18" t="s">
        <v>20</v>
      </c>
      <c r="B81" s="6">
        <v>640</v>
      </c>
      <c r="C81" s="5">
        <f t="shared" si="8"/>
        <v>3.2114004716744443E-2</v>
      </c>
    </row>
    <row r="82" spans="1:6" x14ac:dyDescent="0.25">
      <c r="A82" s="18" t="s">
        <v>17</v>
      </c>
      <c r="B82" s="6">
        <v>528</v>
      </c>
      <c r="C82" s="5">
        <f t="shared" si="8"/>
        <v>2.6494053891314165E-2</v>
      </c>
    </row>
    <row r="83" spans="1:6" x14ac:dyDescent="0.25">
      <c r="A83" s="18" t="s">
        <v>16</v>
      </c>
      <c r="B83" s="6">
        <v>481</v>
      </c>
      <c r="C83" s="5">
        <f t="shared" si="8"/>
        <v>2.4135681669928244E-2</v>
      </c>
    </row>
    <row r="84" spans="1:6" x14ac:dyDescent="0.25">
      <c r="A84" s="18" t="s">
        <v>26</v>
      </c>
      <c r="B84" s="6">
        <v>462</v>
      </c>
      <c r="C84" s="5">
        <f t="shared" si="8"/>
        <v>2.3182297154899896E-2</v>
      </c>
    </row>
    <row r="85" spans="1:6" x14ac:dyDescent="0.25">
      <c r="A85" s="18" t="s">
        <v>19</v>
      </c>
      <c r="B85" s="6">
        <v>323</v>
      </c>
      <c r="C85" s="5">
        <f t="shared" si="8"/>
        <v>1.620753675548196E-2</v>
      </c>
    </row>
    <row r="86" spans="1:6" x14ac:dyDescent="0.25">
      <c r="A86" s="18" t="s">
        <v>15</v>
      </c>
      <c r="B86" s="6">
        <v>237</v>
      </c>
      <c r="C86" s="5">
        <f t="shared" si="8"/>
        <v>1.1892217371669426E-2</v>
      </c>
    </row>
    <row r="87" spans="1:6" x14ac:dyDescent="0.25">
      <c r="A87" s="19" t="s">
        <v>33</v>
      </c>
      <c r="B87" s="14">
        <v>1320</v>
      </c>
      <c r="C87" s="15">
        <f t="shared" si="8"/>
        <v>6.6235134728285419E-2</v>
      </c>
    </row>
    <row r="88" spans="1:6" ht="15.75" thickBot="1" x14ac:dyDescent="0.3">
      <c r="A88" s="43" t="s">
        <v>5</v>
      </c>
      <c r="B88" s="3">
        <f>SUM(B77:B87)</f>
        <v>19929</v>
      </c>
      <c r="C88" s="2"/>
    </row>
    <row r="89" spans="1:6" ht="15.75" thickBot="1" x14ac:dyDescent="0.3"/>
    <row r="90" spans="1:6" ht="52.5" thickBot="1" x14ac:dyDescent="0.35">
      <c r="A90" s="117" t="s">
        <v>42</v>
      </c>
      <c r="B90" s="118"/>
      <c r="C90" s="119"/>
    </row>
    <row r="91" spans="1:6" x14ac:dyDescent="0.25">
      <c r="A91" s="12" t="s">
        <v>12</v>
      </c>
      <c r="B91" s="4" t="s">
        <v>1</v>
      </c>
      <c r="C91" s="11" t="s">
        <v>2</v>
      </c>
    </row>
    <row r="92" spans="1:6" x14ac:dyDescent="0.25">
      <c r="A92" s="42" t="s">
        <v>13</v>
      </c>
      <c r="B92" s="6">
        <v>7909</v>
      </c>
      <c r="C92" s="5">
        <f t="shared" ref="C92:C102" si="9">B92/$B$103</f>
        <v>0.68559292649098469</v>
      </c>
      <c r="F92" s="52"/>
    </row>
    <row r="93" spans="1:6" x14ac:dyDescent="0.25">
      <c r="A93" s="42" t="s">
        <v>21</v>
      </c>
      <c r="B93" s="6">
        <v>921</v>
      </c>
      <c r="C93" s="5">
        <f t="shared" si="9"/>
        <v>7.9837031900138702E-2</v>
      </c>
      <c r="D93" s="52"/>
      <c r="E93" s="51"/>
      <c r="F93" s="52"/>
    </row>
    <row r="94" spans="1:6" x14ac:dyDescent="0.25">
      <c r="A94" s="42" t="s">
        <v>18</v>
      </c>
      <c r="B94" s="6">
        <v>873</v>
      </c>
      <c r="C94" s="5">
        <f t="shared" si="9"/>
        <v>7.5676144244105403E-2</v>
      </c>
      <c r="D94" s="52"/>
      <c r="E94" s="54"/>
      <c r="F94" s="52"/>
    </row>
    <row r="95" spans="1:6" x14ac:dyDescent="0.25">
      <c r="A95" s="42" t="s">
        <v>20</v>
      </c>
      <c r="B95" s="6">
        <v>240</v>
      </c>
      <c r="C95" s="5">
        <f t="shared" si="9"/>
        <v>2.0804438280166437E-2</v>
      </c>
      <c r="D95" s="52"/>
      <c r="E95" s="54"/>
    </row>
    <row r="96" spans="1:6" x14ac:dyDescent="0.25">
      <c r="A96" s="42" t="s">
        <v>14</v>
      </c>
      <c r="B96" s="6">
        <v>214</v>
      </c>
      <c r="C96" s="5">
        <f t="shared" si="9"/>
        <v>1.8550624133148404E-2</v>
      </c>
    </row>
    <row r="97" spans="1:3" x14ac:dyDescent="0.25">
      <c r="A97" s="42" t="s">
        <v>16</v>
      </c>
      <c r="B97" s="6">
        <v>198</v>
      </c>
      <c r="C97" s="5">
        <f t="shared" si="9"/>
        <v>1.7163661581137309E-2</v>
      </c>
    </row>
    <row r="98" spans="1:3" x14ac:dyDescent="0.25">
      <c r="A98" s="42" t="s">
        <v>126</v>
      </c>
      <c r="B98" s="6">
        <v>174</v>
      </c>
      <c r="C98" s="5">
        <f t="shared" si="9"/>
        <v>1.5083217753120666E-2</v>
      </c>
    </row>
    <row r="99" spans="1:3" x14ac:dyDescent="0.25">
      <c r="A99" s="42" t="s">
        <v>17</v>
      </c>
      <c r="B99" s="6">
        <v>145</v>
      </c>
      <c r="C99" s="5">
        <f t="shared" si="9"/>
        <v>1.2569348127600554E-2</v>
      </c>
    </row>
    <row r="100" spans="1:3" x14ac:dyDescent="0.25">
      <c r="A100" s="42" t="s">
        <v>19</v>
      </c>
      <c r="B100" s="6">
        <v>107</v>
      </c>
      <c r="C100" s="5">
        <f t="shared" si="9"/>
        <v>9.2753120665742018E-3</v>
      </c>
    </row>
    <row r="101" spans="1:3" x14ac:dyDescent="0.25">
      <c r="A101" s="42" t="s">
        <v>26</v>
      </c>
      <c r="B101" s="6">
        <v>91</v>
      </c>
      <c r="C101" s="5">
        <f t="shared" si="9"/>
        <v>7.8883495145631068E-3</v>
      </c>
    </row>
    <row r="102" spans="1:3" x14ac:dyDescent="0.25">
      <c r="A102" s="13" t="s">
        <v>33</v>
      </c>
      <c r="B102" s="14">
        <v>664</v>
      </c>
      <c r="C102" s="15">
        <f t="shared" si="9"/>
        <v>5.7558945908460474E-2</v>
      </c>
    </row>
    <row r="103" spans="1:3" ht="15.75" thickBot="1" x14ac:dyDescent="0.3">
      <c r="A103" s="43" t="s">
        <v>5</v>
      </c>
      <c r="B103" s="3">
        <f>SUM(B92:B102)</f>
        <v>11536</v>
      </c>
      <c r="C103" s="2"/>
    </row>
    <row r="104" spans="1:3" x14ac:dyDescent="0.25">
      <c r="A104" s="49"/>
      <c r="B104" s="6"/>
      <c r="C104" s="49"/>
    </row>
    <row r="105" spans="1:3" x14ac:dyDescent="0.25">
      <c r="A105" s="51" t="s">
        <v>137</v>
      </c>
      <c r="B105" s="52"/>
      <c r="C105" s="51"/>
    </row>
    <row r="106" spans="1:3" x14ac:dyDescent="0.25">
      <c r="A106" s="54" t="s">
        <v>138</v>
      </c>
      <c r="B106" s="52"/>
      <c r="C106" s="54"/>
    </row>
    <row r="107" spans="1:3" x14ac:dyDescent="0.25">
      <c r="A107" s="54" t="s">
        <v>139</v>
      </c>
      <c r="B107" s="52"/>
      <c r="C107" s="54"/>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5"/>
  <sheetViews>
    <sheetView topLeftCell="A90" workbookViewId="0">
      <selection activeCell="E40" sqref="E40:F63"/>
    </sheetView>
  </sheetViews>
  <sheetFormatPr defaultColWidth="8.85546875" defaultRowHeight="15" x14ac:dyDescent="0.25"/>
  <cols>
    <col min="1" max="1" width="30" style="35" bestFit="1" customWidth="1"/>
    <col min="2" max="2" width="10.7109375" style="35" bestFit="1" customWidth="1"/>
    <col min="3" max="3" width="7.85546875" style="35" customWidth="1"/>
    <col min="4" max="4" width="8.85546875" style="35"/>
    <col min="5" max="5" width="33.85546875" style="35" bestFit="1" customWidth="1"/>
    <col min="6" max="6" width="18.42578125" style="35" bestFit="1" customWidth="1"/>
    <col min="7" max="7" width="14.42578125" style="35" customWidth="1"/>
    <col min="8" max="8" width="8.85546875" style="35"/>
    <col min="9" max="9" width="19" style="35" bestFit="1" customWidth="1"/>
    <col min="10" max="16384" width="8.85546875" style="35"/>
  </cols>
  <sheetData>
    <row r="1" spans="1:14" ht="21" x14ac:dyDescent="0.35">
      <c r="A1" s="171" t="s">
        <v>111</v>
      </c>
      <c r="B1" s="171"/>
      <c r="C1" s="171"/>
      <c r="D1" s="171"/>
      <c r="E1" s="171"/>
      <c r="F1" s="171"/>
    </row>
    <row r="2" spans="1:14" ht="21" x14ac:dyDescent="0.35">
      <c r="A2" s="50" t="s">
        <v>135</v>
      </c>
      <c r="B2" s="40"/>
      <c r="C2" s="40"/>
      <c r="D2" s="40"/>
      <c r="E2" s="40"/>
      <c r="F2" s="66"/>
      <c r="G2" s="40"/>
      <c r="H2" s="40"/>
      <c r="I2" s="40"/>
      <c r="J2" s="40"/>
      <c r="K2" s="40"/>
      <c r="L2" s="40"/>
      <c r="M2" s="40"/>
      <c r="N2" s="40"/>
    </row>
    <row r="3" spans="1:14" ht="21" x14ac:dyDescent="0.35">
      <c r="A3" s="40" t="s">
        <v>136</v>
      </c>
      <c r="B3" s="40"/>
      <c r="C3" s="40"/>
      <c r="D3" s="40"/>
      <c r="E3" s="40"/>
      <c r="F3" s="66"/>
      <c r="G3" s="40"/>
      <c r="H3" s="40"/>
      <c r="I3" s="40"/>
      <c r="J3" s="40"/>
      <c r="K3" s="40"/>
      <c r="L3" s="40"/>
      <c r="M3" s="40"/>
      <c r="N3" s="40"/>
    </row>
    <row r="4" spans="1:14" ht="15.75" thickBot="1" x14ac:dyDescent="0.3"/>
    <row r="5" spans="1:14" ht="18" thickBot="1" x14ac:dyDescent="0.35">
      <c r="A5" s="158" t="s">
        <v>34</v>
      </c>
      <c r="B5" s="159"/>
      <c r="C5" s="160"/>
      <c r="E5" s="74" t="s">
        <v>132</v>
      </c>
      <c r="F5" s="75"/>
      <c r="G5" s="76"/>
      <c r="I5" s="158" t="s">
        <v>62</v>
      </c>
      <c r="J5" s="160"/>
    </row>
    <row r="6" spans="1:14" x14ac:dyDescent="0.25">
      <c r="A6" s="12" t="s">
        <v>0</v>
      </c>
      <c r="B6" s="4" t="s">
        <v>1</v>
      </c>
      <c r="C6" s="11" t="s">
        <v>2</v>
      </c>
      <c r="E6" s="12" t="s">
        <v>54</v>
      </c>
      <c r="F6" s="4" t="s">
        <v>1</v>
      </c>
      <c r="G6" s="11" t="s">
        <v>2</v>
      </c>
      <c r="I6" s="17" t="s">
        <v>112</v>
      </c>
      <c r="J6" s="39"/>
    </row>
    <row r="7" spans="1:14" x14ac:dyDescent="0.25">
      <c r="A7" s="37" t="s">
        <v>3</v>
      </c>
      <c r="B7" s="6">
        <v>100773</v>
      </c>
      <c r="C7" s="5">
        <f>B7/$B$9</f>
        <v>0.97093168898737836</v>
      </c>
      <c r="E7" s="42" t="s">
        <v>55</v>
      </c>
      <c r="F7" s="6">
        <v>40003</v>
      </c>
      <c r="G7" s="5">
        <f>F7/$F$9</f>
        <v>0.98454382122025053</v>
      </c>
      <c r="I7" s="37" t="s">
        <v>113</v>
      </c>
      <c r="J7" s="39"/>
    </row>
    <row r="8" spans="1:14" x14ac:dyDescent="0.25">
      <c r="A8" s="13" t="s">
        <v>4</v>
      </c>
      <c r="B8" s="14">
        <v>3017</v>
      </c>
      <c r="C8" s="15">
        <f>B8/$B$9</f>
        <v>2.9068311012621639E-2</v>
      </c>
      <c r="E8" s="13" t="s">
        <v>58</v>
      </c>
      <c r="F8" s="14">
        <v>628</v>
      </c>
      <c r="G8" s="15">
        <f>F8/$F$9</f>
        <v>1.5456178779749452E-2</v>
      </c>
      <c r="I8" s="37" t="s">
        <v>114</v>
      </c>
      <c r="J8" s="39"/>
    </row>
    <row r="9" spans="1:14" ht="15.75" thickBot="1" x14ac:dyDescent="0.3">
      <c r="A9" s="38" t="s">
        <v>5</v>
      </c>
      <c r="B9" s="3">
        <f>SUM(B7:B8)</f>
        <v>103790</v>
      </c>
      <c r="C9" s="2"/>
      <c r="E9" s="43" t="s">
        <v>5</v>
      </c>
      <c r="F9" s="3">
        <f>SUM(F7:F8)</f>
        <v>40631</v>
      </c>
      <c r="G9" s="2"/>
      <c r="I9" s="37" t="s">
        <v>115</v>
      </c>
      <c r="J9" s="39"/>
    </row>
    <row r="10" spans="1:14" s="40" customFormat="1" x14ac:dyDescent="0.25">
      <c r="A10" s="40" t="s">
        <v>159</v>
      </c>
      <c r="B10" s="68"/>
      <c r="C10" s="68"/>
      <c r="E10" s="40" t="s">
        <v>148</v>
      </c>
      <c r="I10" s="42"/>
      <c r="J10" s="44"/>
    </row>
    <row r="11" spans="1:14" ht="15.75" thickBot="1" x14ac:dyDescent="0.3">
      <c r="A11" s="40"/>
      <c r="B11" s="68"/>
      <c r="C11" s="68"/>
      <c r="D11" s="40"/>
      <c r="E11" s="40"/>
      <c r="F11" s="40"/>
      <c r="G11" s="40"/>
      <c r="I11" s="37" t="s">
        <v>116</v>
      </c>
      <c r="J11" s="39"/>
    </row>
    <row r="12" spans="1:14" ht="35.25" thickBot="1" x14ac:dyDescent="0.35">
      <c r="A12" s="158" t="s">
        <v>35</v>
      </c>
      <c r="B12" s="159"/>
      <c r="C12" s="160"/>
      <c r="E12" s="71" t="s">
        <v>56</v>
      </c>
      <c r="F12" s="72"/>
      <c r="G12" s="73"/>
      <c r="I12" s="37" t="s">
        <v>117</v>
      </c>
      <c r="J12" s="39"/>
    </row>
    <row r="13" spans="1:14" x14ac:dyDescent="0.25">
      <c r="A13" s="12" t="s">
        <v>6</v>
      </c>
      <c r="B13" s="4" t="s">
        <v>7</v>
      </c>
      <c r="C13" s="11" t="s">
        <v>2</v>
      </c>
      <c r="E13" s="12" t="s">
        <v>6</v>
      </c>
      <c r="F13" s="4" t="s">
        <v>7</v>
      </c>
      <c r="G13" s="11" t="s">
        <v>2</v>
      </c>
      <c r="I13" s="37" t="s">
        <v>118</v>
      </c>
      <c r="J13" s="39"/>
    </row>
    <row r="14" spans="1:14" x14ac:dyDescent="0.25">
      <c r="A14" s="37" t="s">
        <v>36</v>
      </c>
      <c r="B14" s="6">
        <v>2807</v>
      </c>
      <c r="C14" s="5">
        <f>B14/$B$21</f>
        <v>2.704499470083823E-2</v>
      </c>
      <c r="E14" s="42" t="s">
        <v>36</v>
      </c>
      <c r="F14" s="6">
        <v>598</v>
      </c>
      <c r="G14" s="5">
        <f t="shared" ref="G14:G19" si="0">F14/$F$20</f>
        <v>2.0282186948853614E-2</v>
      </c>
      <c r="I14" s="37" t="s">
        <v>119</v>
      </c>
      <c r="J14" s="39"/>
    </row>
    <row r="15" spans="1:14" x14ac:dyDescent="0.25">
      <c r="A15" s="37" t="s">
        <v>37</v>
      </c>
      <c r="B15" s="6">
        <v>6241</v>
      </c>
      <c r="C15" s="5">
        <f t="shared" ref="C15:C20" si="1">B15/$B$21</f>
        <v>6.0131033818286925E-2</v>
      </c>
      <c r="E15" s="42" t="s">
        <v>37</v>
      </c>
      <c r="F15" s="6">
        <v>1338</v>
      </c>
      <c r="G15" s="5">
        <f t="shared" si="0"/>
        <v>4.5380545380545381E-2</v>
      </c>
      <c r="I15" s="37" t="s">
        <v>120</v>
      </c>
      <c r="J15" s="39"/>
    </row>
    <row r="16" spans="1:14" x14ac:dyDescent="0.25">
      <c r="A16" s="37" t="s">
        <v>38</v>
      </c>
      <c r="B16" s="6">
        <v>10884</v>
      </c>
      <c r="C16" s="5">
        <f t="shared" si="1"/>
        <v>0.10486559398786011</v>
      </c>
      <c r="E16" s="42" t="s">
        <v>38</v>
      </c>
      <c r="F16" s="6">
        <v>2629</v>
      </c>
      <c r="G16" s="5">
        <f t="shared" si="0"/>
        <v>8.91670058336725E-2</v>
      </c>
      <c r="I16" s="37"/>
      <c r="J16" s="39"/>
    </row>
    <row r="17" spans="1:48" x14ac:dyDescent="0.25">
      <c r="A17" s="37" t="s">
        <v>39</v>
      </c>
      <c r="B17" s="6">
        <v>13866</v>
      </c>
      <c r="C17" s="5">
        <f t="shared" si="1"/>
        <v>0.13359668561518451</v>
      </c>
      <c r="E17" s="42" t="s">
        <v>39</v>
      </c>
      <c r="F17" s="6">
        <v>3614</v>
      </c>
      <c r="G17" s="5">
        <f t="shared" si="0"/>
        <v>0.12257495590828923</v>
      </c>
      <c r="I17" s="37"/>
      <c r="J17" s="39"/>
    </row>
    <row r="18" spans="1:48" x14ac:dyDescent="0.25">
      <c r="A18" s="37" t="s">
        <v>40</v>
      </c>
      <c r="B18" s="6">
        <v>14553</v>
      </c>
      <c r="C18" s="5">
        <f t="shared" si="1"/>
        <v>0.14021582040659022</v>
      </c>
      <c r="E18" s="42" t="s">
        <v>40</v>
      </c>
      <c r="F18" s="6">
        <v>3962</v>
      </c>
      <c r="G18" s="5">
        <f t="shared" si="0"/>
        <v>0.13437796771130103</v>
      </c>
      <c r="I18" s="37"/>
      <c r="J18" s="39"/>
    </row>
    <row r="19" spans="1:48" x14ac:dyDescent="0.25">
      <c r="A19" s="37" t="s">
        <v>8</v>
      </c>
      <c r="B19" s="6">
        <v>54628</v>
      </c>
      <c r="C19" s="5">
        <f t="shared" si="1"/>
        <v>0.52633201657192408</v>
      </c>
      <c r="E19" s="13" t="s">
        <v>8</v>
      </c>
      <c r="F19" s="14">
        <v>17343</v>
      </c>
      <c r="G19" s="15">
        <f t="shared" si="0"/>
        <v>0.58821733821733824</v>
      </c>
      <c r="I19" s="37"/>
      <c r="J19" s="39"/>
    </row>
    <row r="20" spans="1:48" ht="15.75" thickBot="1" x14ac:dyDescent="0.3">
      <c r="A20" s="13" t="s">
        <v>9</v>
      </c>
      <c r="B20" s="14">
        <v>811</v>
      </c>
      <c r="C20" s="15">
        <f t="shared" si="1"/>
        <v>7.8138548993159258E-3</v>
      </c>
      <c r="E20" s="43" t="s">
        <v>5</v>
      </c>
      <c r="F20" s="3">
        <f>SUM(F14:F19)</f>
        <v>29484</v>
      </c>
      <c r="G20" s="2"/>
      <c r="I20" s="37"/>
      <c r="J20" s="39"/>
    </row>
    <row r="21" spans="1:48" ht="15.75" thickBot="1" x14ac:dyDescent="0.3">
      <c r="A21" s="38" t="s">
        <v>5</v>
      </c>
      <c r="B21" s="3">
        <f>SUM(B14:B20)</f>
        <v>103790</v>
      </c>
      <c r="C21" s="2"/>
      <c r="E21" s="55" t="s">
        <v>140</v>
      </c>
      <c r="F21" s="40"/>
      <c r="G21" s="40"/>
      <c r="I21" s="37"/>
      <c r="J21" s="39"/>
    </row>
    <row r="22" spans="1:48" ht="15.75" thickBot="1" x14ac:dyDescent="0.3">
      <c r="A22" s="40" t="s">
        <v>159</v>
      </c>
      <c r="B22" s="40"/>
      <c r="C22" s="40"/>
      <c r="D22" s="40"/>
      <c r="E22" s="67"/>
      <c r="F22" s="40"/>
      <c r="G22" s="40"/>
      <c r="I22" s="37"/>
      <c r="J22" s="39"/>
    </row>
    <row r="23" spans="1:48" ht="52.5" thickBot="1" x14ac:dyDescent="0.35">
      <c r="A23" s="40"/>
      <c r="B23" s="40"/>
      <c r="C23" s="40"/>
      <c r="D23" s="40"/>
      <c r="E23" s="71" t="s">
        <v>57</v>
      </c>
      <c r="F23" s="72"/>
      <c r="G23" s="73"/>
      <c r="I23" s="37"/>
      <c r="J23" s="39"/>
    </row>
    <row r="24" spans="1:48" ht="18" thickBot="1" x14ac:dyDescent="0.35">
      <c r="A24" s="158" t="s">
        <v>10</v>
      </c>
      <c r="B24" s="159"/>
      <c r="C24" s="160"/>
      <c r="E24" s="12" t="s">
        <v>6</v>
      </c>
      <c r="F24" s="4" t="s">
        <v>7</v>
      </c>
      <c r="G24" s="11" t="s">
        <v>2</v>
      </c>
      <c r="I24" s="37"/>
      <c r="J24" s="39"/>
    </row>
    <row r="25" spans="1:48" x14ac:dyDescent="0.25">
      <c r="A25" s="12" t="s">
        <v>6</v>
      </c>
      <c r="B25" s="4" t="s">
        <v>7</v>
      </c>
      <c r="C25" s="11" t="s">
        <v>2</v>
      </c>
      <c r="E25" s="42" t="s">
        <v>36</v>
      </c>
      <c r="F25" s="6">
        <v>81</v>
      </c>
      <c r="G25" s="5">
        <f t="shared" ref="G25:G30" si="2">F25/$F$31</f>
        <v>0.20351758793969849</v>
      </c>
      <c r="I25" s="37"/>
      <c r="J25" s="39"/>
    </row>
    <row r="26" spans="1:48" x14ac:dyDescent="0.25">
      <c r="A26" s="37" t="s">
        <v>36</v>
      </c>
      <c r="B26" s="6">
        <v>266</v>
      </c>
      <c r="C26" s="5">
        <f>B26/$B$33</f>
        <v>8.8167053364269138E-2</v>
      </c>
      <c r="E26" s="42" t="s">
        <v>37</v>
      </c>
      <c r="F26" s="6">
        <v>26</v>
      </c>
      <c r="G26" s="5">
        <f t="shared" si="2"/>
        <v>6.5326633165829151E-2</v>
      </c>
      <c r="I26" s="37"/>
      <c r="J26" s="39"/>
    </row>
    <row r="27" spans="1:48" x14ac:dyDescent="0.25">
      <c r="A27" s="37" t="s">
        <v>37</v>
      </c>
      <c r="B27" s="6">
        <v>119</v>
      </c>
      <c r="C27" s="5">
        <f t="shared" ref="C27:C32" si="3">B27/$B$33</f>
        <v>3.9443155452436193E-2</v>
      </c>
      <c r="E27" s="42" t="s">
        <v>38</v>
      </c>
      <c r="F27" s="6">
        <v>13</v>
      </c>
      <c r="G27" s="5">
        <f t="shared" si="2"/>
        <v>3.2663316582914576E-2</v>
      </c>
      <c r="I27" s="37"/>
      <c r="J27" s="39"/>
    </row>
    <row r="28" spans="1:48" x14ac:dyDescent="0.25">
      <c r="A28" s="37" t="s">
        <v>38</v>
      </c>
      <c r="B28" s="6">
        <v>390</v>
      </c>
      <c r="C28" s="5">
        <f t="shared" si="3"/>
        <v>0.12926748425588333</v>
      </c>
      <c r="E28" s="42" t="s">
        <v>39</v>
      </c>
      <c r="F28" s="6">
        <v>141</v>
      </c>
      <c r="G28" s="5">
        <f t="shared" si="2"/>
        <v>0.35427135678391958</v>
      </c>
      <c r="I28" s="37"/>
      <c r="J28" s="39"/>
    </row>
    <row r="29" spans="1:48" x14ac:dyDescent="0.25">
      <c r="A29" s="37" t="s">
        <v>39</v>
      </c>
      <c r="B29" s="6">
        <v>709</v>
      </c>
      <c r="C29" s="5">
        <f t="shared" si="3"/>
        <v>0.23500165727543917</v>
      </c>
      <c r="E29" s="42" t="s">
        <v>40</v>
      </c>
      <c r="F29" s="6">
        <v>47</v>
      </c>
      <c r="G29" s="5">
        <f t="shared" si="2"/>
        <v>0.11809045226130653</v>
      </c>
      <c r="I29" s="37"/>
      <c r="J29" s="39"/>
    </row>
    <row r="30" spans="1:48" x14ac:dyDescent="0.25">
      <c r="A30" s="37" t="s">
        <v>40</v>
      </c>
      <c r="B30" s="6">
        <v>309</v>
      </c>
      <c r="C30" s="5">
        <f t="shared" si="3"/>
        <v>0.10241962214119987</v>
      </c>
      <c r="E30" s="13" t="s">
        <v>8</v>
      </c>
      <c r="F30" s="14">
        <v>90</v>
      </c>
      <c r="G30" s="15">
        <f t="shared" si="2"/>
        <v>0.22613065326633167</v>
      </c>
      <c r="I30" s="37"/>
      <c r="J30" s="39"/>
    </row>
    <row r="31" spans="1:48" ht="15.75" thickBot="1" x14ac:dyDescent="0.3">
      <c r="A31" s="37" t="s">
        <v>8</v>
      </c>
      <c r="B31" s="6">
        <v>1224</v>
      </c>
      <c r="C31" s="5">
        <f t="shared" si="3"/>
        <v>0.40570102751077231</v>
      </c>
      <c r="E31" s="43" t="s">
        <v>5</v>
      </c>
      <c r="F31" s="3">
        <f>SUM(F25:F30)</f>
        <v>398</v>
      </c>
      <c r="G31" s="2"/>
      <c r="I31" s="37"/>
      <c r="J31" s="39"/>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row>
    <row r="32" spans="1:48" ht="15.75" thickBot="1" x14ac:dyDescent="0.3">
      <c r="A32" s="13" t="s">
        <v>9</v>
      </c>
      <c r="B32" s="14">
        <v>0</v>
      </c>
      <c r="C32" s="15">
        <f t="shared" si="3"/>
        <v>0</v>
      </c>
      <c r="E32" s="40"/>
      <c r="F32" s="40"/>
      <c r="G32" s="40"/>
      <c r="I32" s="38"/>
      <c r="J32" s="2"/>
    </row>
    <row r="33" spans="1:14" ht="52.5" thickBot="1" x14ac:dyDescent="0.35">
      <c r="A33" s="38" t="s">
        <v>5</v>
      </c>
      <c r="B33" s="3">
        <f>SUM(B26:B32)</f>
        <v>3017</v>
      </c>
      <c r="C33" s="2"/>
      <c r="E33" s="71" t="s">
        <v>59</v>
      </c>
      <c r="F33" s="72"/>
      <c r="G33" s="73"/>
      <c r="L33" s="40"/>
      <c r="M33" s="40"/>
      <c r="N33" s="40"/>
    </row>
    <row r="34" spans="1:14" ht="15.75" thickBot="1" x14ac:dyDescent="0.3">
      <c r="E34" s="12" t="s">
        <v>6</v>
      </c>
      <c r="F34" s="4" t="s">
        <v>7</v>
      </c>
      <c r="G34" s="11" t="s">
        <v>2</v>
      </c>
      <c r="H34" s="40"/>
      <c r="I34" s="40"/>
      <c r="J34" s="40"/>
      <c r="K34" s="40"/>
    </row>
    <row r="35" spans="1:14" ht="33" customHeight="1" thickBot="1" x14ac:dyDescent="0.35">
      <c r="A35" s="186" t="s">
        <v>158</v>
      </c>
      <c r="B35" s="187"/>
      <c r="C35" s="188"/>
      <c r="E35" s="42" t="s">
        <v>36</v>
      </c>
      <c r="F35" s="6">
        <f>F25</f>
        <v>81</v>
      </c>
      <c r="G35" s="5">
        <f>F35/$F$37</f>
        <v>0.7570093457943925</v>
      </c>
    </row>
    <row r="36" spans="1:14" x14ac:dyDescent="0.25">
      <c r="A36" s="12" t="s">
        <v>0</v>
      </c>
      <c r="B36" s="4" t="s">
        <v>1</v>
      </c>
      <c r="C36" s="11" t="s">
        <v>2</v>
      </c>
      <c r="E36" s="13" t="s">
        <v>37</v>
      </c>
      <c r="F36" s="14">
        <f>F26</f>
        <v>26</v>
      </c>
      <c r="G36" s="15">
        <f>F36/$F$37</f>
        <v>0.24299065420560748</v>
      </c>
    </row>
    <row r="37" spans="1:14" ht="15.75" thickBot="1" x14ac:dyDescent="0.3">
      <c r="A37" s="42" t="s">
        <v>3</v>
      </c>
      <c r="B37" s="6">
        <v>2541</v>
      </c>
      <c r="C37" s="5">
        <v>0.90500000000000003</v>
      </c>
      <c r="E37" s="43" t="s">
        <v>5</v>
      </c>
      <c r="F37" s="3">
        <f>SUM(F35:F36)</f>
        <v>107</v>
      </c>
      <c r="G37" s="2"/>
    </row>
    <row r="38" spans="1:14" x14ac:dyDescent="0.25">
      <c r="A38" s="13" t="s">
        <v>4</v>
      </c>
      <c r="B38" s="14">
        <v>266</v>
      </c>
      <c r="C38" s="15">
        <v>9.5000000000000001E-2</v>
      </c>
      <c r="E38" s="40" t="s">
        <v>160</v>
      </c>
      <c r="F38" s="40" t="s">
        <v>160</v>
      </c>
      <c r="G38" s="40" t="s">
        <v>160</v>
      </c>
    </row>
    <row r="39" spans="1:14" ht="15.75" thickBot="1" x14ac:dyDescent="0.3">
      <c r="A39" s="43" t="s">
        <v>5</v>
      </c>
      <c r="B39" s="3">
        <v>2807</v>
      </c>
      <c r="C39" s="48"/>
      <c r="E39" s="40"/>
      <c r="F39" s="40"/>
      <c r="G39" s="40"/>
    </row>
    <row r="40" spans="1:14" ht="52.5" thickBot="1" x14ac:dyDescent="0.35">
      <c r="A40" s="40"/>
      <c r="B40" s="40"/>
      <c r="C40" s="40"/>
      <c r="E40" s="71" t="s">
        <v>60</v>
      </c>
      <c r="F40" s="72"/>
      <c r="G40" s="73"/>
    </row>
    <row r="41" spans="1:14" ht="18" thickBot="1" x14ac:dyDescent="0.35">
      <c r="A41" s="158" t="s">
        <v>154</v>
      </c>
      <c r="B41" s="159"/>
      <c r="C41" s="160"/>
      <c r="E41" s="12" t="s">
        <v>12</v>
      </c>
      <c r="F41" s="4" t="s">
        <v>1</v>
      </c>
      <c r="G41" s="11" t="s">
        <v>2</v>
      </c>
    </row>
    <row r="42" spans="1:14" x14ac:dyDescent="0.25">
      <c r="A42" s="12" t="s">
        <v>0</v>
      </c>
      <c r="B42" s="4" t="s">
        <v>1</v>
      </c>
      <c r="C42" s="11" t="s">
        <v>2</v>
      </c>
      <c r="E42" s="42" t="s">
        <v>15</v>
      </c>
      <c r="F42" s="6">
        <v>82</v>
      </c>
      <c r="G42" s="5">
        <f t="shared" ref="G42:G52" si="4">F42/$F$53</f>
        <v>0.20603015075376885</v>
      </c>
    </row>
    <row r="43" spans="1:14" x14ac:dyDescent="0.25">
      <c r="A43" s="42" t="s">
        <v>3</v>
      </c>
      <c r="B43" s="6">
        <v>6122</v>
      </c>
      <c r="C43" s="5">
        <v>0.98099999999999998</v>
      </c>
      <c r="E43" s="42" t="s">
        <v>29</v>
      </c>
      <c r="F43" s="6">
        <v>65</v>
      </c>
      <c r="G43" s="5">
        <f t="shared" si="4"/>
        <v>0.16331658291457288</v>
      </c>
    </row>
    <row r="44" spans="1:14" x14ac:dyDescent="0.25">
      <c r="A44" s="13" t="s">
        <v>4</v>
      </c>
      <c r="B44" s="14">
        <v>119</v>
      </c>
      <c r="C44" s="15">
        <v>1.9E-2</v>
      </c>
      <c r="E44" s="42" t="s">
        <v>121</v>
      </c>
      <c r="F44" s="6">
        <v>42</v>
      </c>
      <c r="G44" s="5">
        <f t="shared" si="4"/>
        <v>0.10552763819095477</v>
      </c>
    </row>
    <row r="45" spans="1:14" ht="15.75" thickBot="1" x14ac:dyDescent="0.3">
      <c r="A45" s="43" t="s">
        <v>5</v>
      </c>
      <c r="B45" s="3">
        <v>6241</v>
      </c>
      <c r="C45" s="2"/>
      <c r="E45" s="42" t="s">
        <v>20</v>
      </c>
      <c r="F45" s="6">
        <v>37</v>
      </c>
      <c r="G45" s="5">
        <f t="shared" si="4"/>
        <v>9.2964824120603015E-2</v>
      </c>
    </row>
    <row r="46" spans="1:14" ht="15.75" thickBot="1" x14ac:dyDescent="0.3">
      <c r="E46" s="42" t="s">
        <v>23</v>
      </c>
      <c r="F46" s="6">
        <v>20</v>
      </c>
      <c r="G46" s="5">
        <f t="shared" si="4"/>
        <v>5.0251256281407038E-2</v>
      </c>
    </row>
    <row r="47" spans="1:14" ht="18" thickBot="1" x14ac:dyDescent="0.35">
      <c r="A47" s="154" t="s">
        <v>41</v>
      </c>
      <c r="B47" s="155"/>
      <c r="C47" s="156"/>
      <c r="E47" s="42" t="s">
        <v>14</v>
      </c>
      <c r="F47" s="6">
        <v>19</v>
      </c>
      <c r="G47" s="5">
        <f t="shared" si="4"/>
        <v>4.7738693467336682E-2</v>
      </c>
    </row>
    <row r="48" spans="1:14" x14ac:dyDescent="0.25">
      <c r="A48" s="12" t="s">
        <v>6</v>
      </c>
      <c r="B48" s="4" t="s">
        <v>7</v>
      </c>
      <c r="C48" s="11" t="s">
        <v>2</v>
      </c>
      <c r="E48" s="42" t="s">
        <v>122</v>
      </c>
      <c r="F48" s="6">
        <v>19</v>
      </c>
      <c r="G48" s="5">
        <f t="shared" si="4"/>
        <v>4.7738693467336682E-2</v>
      </c>
    </row>
    <row r="49" spans="1:48" x14ac:dyDescent="0.25">
      <c r="A49" s="37" t="s">
        <v>36</v>
      </c>
      <c r="B49" s="6">
        <f>B26</f>
        <v>266</v>
      </c>
      <c r="C49" s="5">
        <f>B49/$B$51</f>
        <v>0.69090909090909092</v>
      </c>
      <c r="E49" s="42" t="s">
        <v>17</v>
      </c>
      <c r="F49" s="6">
        <v>16</v>
      </c>
      <c r="G49" s="5">
        <f t="shared" si="4"/>
        <v>4.0201005025125629E-2</v>
      </c>
    </row>
    <row r="50" spans="1:48" x14ac:dyDescent="0.25">
      <c r="A50" s="13" t="s">
        <v>37</v>
      </c>
      <c r="B50" s="14">
        <f>B27</f>
        <v>119</v>
      </c>
      <c r="C50" s="15">
        <f>B50/$B$51</f>
        <v>0.30909090909090908</v>
      </c>
      <c r="E50" s="42" t="s">
        <v>131</v>
      </c>
      <c r="F50" s="6">
        <v>15</v>
      </c>
      <c r="G50" s="5">
        <f t="shared" si="4"/>
        <v>3.7688442211055273E-2</v>
      </c>
    </row>
    <row r="51" spans="1:48" ht="15.75" thickBot="1" x14ac:dyDescent="0.3">
      <c r="A51" s="38" t="s">
        <v>5</v>
      </c>
      <c r="B51" s="3">
        <f>SUM(B49:B50)</f>
        <v>385</v>
      </c>
      <c r="C51" s="2"/>
      <c r="E51" s="42" t="s">
        <v>21</v>
      </c>
      <c r="F51" s="6">
        <v>15</v>
      </c>
      <c r="G51" s="5">
        <f t="shared" si="4"/>
        <v>3.7688442211055273E-2</v>
      </c>
    </row>
    <row r="52" spans="1:48" s="36" customFormat="1" ht="15.75" thickBot="1" x14ac:dyDescent="0.3">
      <c r="D52" s="35"/>
      <c r="E52" s="13" t="s">
        <v>33</v>
      </c>
      <c r="F52" s="14">
        <v>68</v>
      </c>
      <c r="G52" s="15">
        <f t="shared" si="4"/>
        <v>0.17085427135678391</v>
      </c>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row>
    <row r="53" spans="1:48" ht="18" thickBot="1" x14ac:dyDescent="0.35">
      <c r="A53" s="158" t="s">
        <v>44</v>
      </c>
      <c r="B53" s="159"/>
      <c r="C53" s="160"/>
      <c r="E53" s="43" t="s">
        <v>5</v>
      </c>
      <c r="F53" s="3">
        <f>SUM(F42:F52)</f>
        <v>398</v>
      </c>
      <c r="G53" s="2"/>
    </row>
    <row r="54" spans="1:48" x14ac:dyDescent="0.25">
      <c r="A54" s="12" t="s">
        <v>45</v>
      </c>
      <c r="B54" s="4" t="s">
        <v>7</v>
      </c>
      <c r="C54" s="11" t="s">
        <v>2</v>
      </c>
      <c r="E54" s="56" t="s">
        <v>141</v>
      </c>
      <c r="F54" s="40"/>
      <c r="G54" s="40"/>
    </row>
    <row r="55" spans="1:48" ht="15.75" thickBot="1" x14ac:dyDescent="0.3">
      <c r="A55" s="37" t="s">
        <v>46</v>
      </c>
      <c r="B55" s="6">
        <v>275</v>
      </c>
      <c r="C55" s="5">
        <f t="shared" ref="C55:C61" si="5">B55/$B$62</f>
        <v>9.1150149154789528E-2</v>
      </c>
      <c r="E55" s="40"/>
      <c r="F55" s="40"/>
      <c r="G55" s="40"/>
    </row>
    <row r="56" spans="1:48" ht="33" customHeight="1" thickBot="1" x14ac:dyDescent="0.35">
      <c r="A56" s="37" t="s">
        <v>47</v>
      </c>
      <c r="B56" s="6">
        <v>53</v>
      </c>
      <c r="C56" s="5">
        <f t="shared" si="5"/>
        <v>1.7567119655286709E-2</v>
      </c>
      <c r="D56" s="36"/>
      <c r="E56" s="71" t="s">
        <v>61</v>
      </c>
      <c r="F56" s="72"/>
      <c r="G56" s="73"/>
    </row>
    <row r="57" spans="1:48" x14ac:dyDescent="0.25">
      <c r="A57" s="37" t="s">
        <v>48</v>
      </c>
      <c r="B57" s="6">
        <v>454</v>
      </c>
      <c r="C57" s="5">
        <f t="shared" si="5"/>
        <v>0.15048060987736162</v>
      </c>
      <c r="E57" s="12" t="s">
        <v>12</v>
      </c>
      <c r="F57" s="4" t="s">
        <v>1</v>
      </c>
      <c r="G57" s="11" t="s">
        <v>2</v>
      </c>
    </row>
    <row r="58" spans="1:48" x14ac:dyDescent="0.25">
      <c r="A58" s="37" t="s">
        <v>49</v>
      </c>
      <c r="B58" s="6">
        <v>685</v>
      </c>
      <c r="C58" s="5">
        <f t="shared" si="5"/>
        <v>0.22704673516738483</v>
      </c>
      <c r="E58" s="42" t="s">
        <v>20</v>
      </c>
      <c r="F58" s="6">
        <v>37</v>
      </c>
      <c r="G58" s="5">
        <f>F58/$F$63</f>
        <v>0.34579439252336447</v>
      </c>
    </row>
    <row r="59" spans="1:48" x14ac:dyDescent="0.25">
      <c r="A59" s="37" t="s">
        <v>50</v>
      </c>
      <c r="B59" s="6">
        <v>606</v>
      </c>
      <c r="C59" s="5">
        <f t="shared" si="5"/>
        <v>0.20086178322837256</v>
      </c>
      <c r="E59" s="42" t="s">
        <v>15</v>
      </c>
      <c r="F59" s="6">
        <v>29</v>
      </c>
      <c r="G59" s="5">
        <f>F59/$F$63</f>
        <v>0.27102803738317754</v>
      </c>
    </row>
    <row r="60" spans="1:48" x14ac:dyDescent="0.25">
      <c r="A60" s="37" t="s">
        <v>51</v>
      </c>
      <c r="B60" s="6">
        <v>402</v>
      </c>
      <c r="C60" s="5">
        <f t="shared" si="5"/>
        <v>0.13324494530991052</v>
      </c>
      <c r="E60" s="42" t="s">
        <v>23</v>
      </c>
      <c r="F60" s="6">
        <v>20</v>
      </c>
      <c r="G60" s="5">
        <f>F60/$F$63</f>
        <v>0.18691588785046728</v>
      </c>
    </row>
    <row r="61" spans="1:48" x14ac:dyDescent="0.25">
      <c r="A61" s="13" t="s">
        <v>52</v>
      </c>
      <c r="B61" s="14">
        <v>542</v>
      </c>
      <c r="C61" s="15">
        <f t="shared" si="5"/>
        <v>0.17964865760689427</v>
      </c>
      <c r="E61" s="42" t="s">
        <v>103</v>
      </c>
      <c r="F61" s="6">
        <v>12</v>
      </c>
      <c r="G61" s="5">
        <f>F61/$F$63</f>
        <v>0.11214953271028037</v>
      </c>
    </row>
    <row r="62" spans="1:48" ht="15.75" thickBot="1" x14ac:dyDescent="0.3">
      <c r="A62" s="38" t="s">
        <v>5</v>
      </c>
      <c r="B62" s="3">
        <f>SUM(B55:B61)</f>
        <v>3017</v>
      </c>
      <c r="C62" s="2"/>
      <c r="E62" s="13" t="s">
        <v>18</v>
      </c>
      <c r="F62" s="14">
        <v>9</v>
      </c>
      <c r="G62" s="15">
        <f>F62/$F$63</f>
        <v>8.4112149532710276E-2</v>
      </c>
    </row>
    <row r="63" spans="1:48" ht="15.75" thickBot="1" x14ac:dyDescent="0.3">
      <c r="E63" s="43" t="s">
        <v>5</v>
      </c>
      <c r="F63" s="3">
        <f>SUM(F58:F62)</f>
        <v>107</v>
      </c>
      <c r="G63" s="2"/>
    </row>
    <row r="64" spans="1:48" ht="52.5" thickBot="1" x14ac:dyDescent="0.35">
      <c r="A64" s="71" t="s">
        <v>53</v>
      </c>
      <c r="B64" s="72"/>
      <c r="C64" s="73"/>
    </row>
    <row r="65" spans="1:3" x14ac:dyDescent="0.25">
      <c r="A65" s="12" t="s">
        <v>45</v>
      </c>
      <c r="B65" s="4" t="s">
        <v>7</v>
      </c>
      <c r="C65" s="11" t="s">
        <v>2</v>
      </c>
    </row>
    <row r="66" spans="1:3" x14ac:dyDescent="0.25">
      <c r="A66" s="42" t="s">
        <v>46</v>
      </c>
      <c r="B66" s="6">
        <v>14</v>
      </c>
      <c r="C66" s="5">
        <f t="shared" ref="C66:C72" si="6">B66/$B$73</f>
        <v>3.6363636363636362E-2</v>
      </c>
    </row>
    <row r="67" spans="1:3" x14ac:dyDescent="0.25">
      <c r="A67" s="42" t="s">
        <v>47</v>
      </c>
      <c r="B67" s="6">
        <v>20</v>
      </c>
      <c r="C67" s="5">
        <f t="shared" si="6"/>
        <v>5.1948051948051951E-2</v>
      </c>
    </row>
    <row r="68" spans="1:3" x14ac:dyDescent="0.25">
      <c r="A68" s="42" t="s">
        <v>48</v>
      </c>
      <c r="B68" s="6">
        <v>28</v>
      </c>
      <c r="C68" s="5">
        <f t="shared" si="6"/>
        <v>7.2727272727272724E-2</v>
      </c>
    </row>
    <row r="69" spans="1:3" x14ac:dyDescent="0.25">
      <c r="A69" s="42" t="s">
        <v>49</v>
      </c>
      <c r="B69" s="6">
        <v>33</v>
      </c>
      <c r="C69" s="5">
        <f t="shared" si="6"/>
        <v>8.5714285714285715E-2</v>
      </c>
    </row>
    <row r="70" spans="1:3" x14ac:dyDescent="0.25">
      <c r="A70" s="42" t="s">
        <v>50</v>
      </c>
      <c r="B70" s="6">
        <v>48</v>
      </c>
      <c r="C70" s="5">
        <f t="shared" si="6"/>
        <v>0.12467532467532468</v>
      </c>
    </row>
    <row r="71" spans="1:3" x14ac:dyDescent="0.25">
      <c r="A71" s="42" t="s">
        <v>51</v>
      </c>
      <c r="B71" s="6">
        <v>76</v>
      </c>
      <c r="C71" s="5">
        <f t="shared" si="6"/>
        <v>0.19740259740259741</v>
      </c>
    </row>
    <row r="72" spans="1:3" x14ac:dyDescent="0.25">
      <c r="A72" s="13" t="s">
        <v>52</v>
      </c>
      <c r="B72" s="14">
        <v>166</v>
      </c>
      <c r="C72" s="15">
        <f t="shared" si="6"/>
        <v>0.43116883116883115</v>
      </c>
    </row>
    <row r="73" spans="1:3" ht="15.75" thickBot="1" x14ac:dyDescent="0.3">
      <c r="A73" s="43" t="s">
        <v>5</v>
      </c>
      <c r="B73" s="3">
        <f>SUM(B66:B72)</f>
        <v>385</v>
      </c>
      <c r="C73" s="2"/>
    </row>
    <row r="76" spans="1:3" ht="15.75" thickBot="1" x14ac:dyDescent="0.3"/>
    <row r="77" spans="1:3" ht="18" thickBot="1" x14ac:dyDescent="0.35">
      <c r="A77" s="74" t="s">
        <v>11</v>
      </c>
      <c r="B77" s="75"/>
      <c r="C77" s="76"/>
    </row>
    <row r="78" spans="1:3" x14ac:dyDescent="0.25">
      <c r="A78" s="12" t="s">
        <v>12</v>
      </c>
      <c r="B78" s="4" t="s">
        <v>1</v>
      </c>
      <c r="C78" s="11" t="s">
        <v>2</v>
      </c>
    </row>
    <row r="79" spans="1:3" x14ac:dyDescent="0.25">
      <c r="A79" s="18" t="s">
        <v>15</v>
      </c>
      <c r="B79" s="6">
        <v>437</v>
      </c>
      <c r="C79" s="5">
        <f t="shared" ref="C79:C89" si="7">B79/$B$90</f>
        <v>0.14484587338415644</v>
      </c>
    </row>
    <row r="80" spans="1:3" x14ac:dyDescent="0.25">
      <c r="A80" s="18" t="s">
        <v>13</v>
      </c>
      <c r="B80" s="6">
        <v>310</v>
      </c>
      <c r="C80" s="5">
        <f t="shared" si="7"/>
        <v>0.10275107722903547</v>
      </c>
    </row>
    <row r="81" spans="1:8" x14ac:dyDescent="0.25">
      <c r="A81" s="18" t="s">
        <v>14</v>
      </c>
      <c r="B81" s="6">
        <v>307</v>
      </c>
      <c r="C81" s="5">
        <f t="shared" si="7"/>
        <v>0.10175671196552867</v>
      </c>
    </row>
    <row r="82" spans="1:8" ht="34.5" customHeight="1" x14ac:dyDescent="0.25">
      <c r="A82" s="18" t="s">
        <v>20</v>
      </c>
      <c r="B82" s="6">
        <v>255</v>
      </c>
      <c r="C82" s="5">
        <f t="shared" si="7"/>
        <v>8.4521047398077559E-2</v>
      </c>
    </row>
    <row r="83" spans="1:8" x14ac:dyDescent="0.25">
      <c r="A83" s="18" t="s">
        <v>17</v>
      </c>
      <c r="B83" s="6">
        <v>225</v>
      </c>
      <c r="C83" s="5">
        <f t="shared" si="7"/>
        <v>7.4577394763009619E-2</v>
      </c>
    </row>
    <row r="84" spans="1:8" x14ac:dyDescent="0.25">
      <c r="A84" s="18" t="s">
        <v>103</v>
      </c>
      <c r="B84" s="6">
        <v>207</v>
      </c>
      <c r="C84" s="5">
        <f t="shared" si="7"/>
        <v>6.8611203181968838E-2</v>
      </c>
    </row>
    <row r="85" spans="1:8" x14ac:dyDescent="0.25">
      <c r="A85" s="18" t="s">
        <v>121</v>
      </c>
      <c r="B85" s="6">
        <v>162</v>
      </c>
      <c r="C85" s="5">
        <f t="shared" si="7"/>
        <v>5.3695724229366922E-2</v>
      </c>
    </row>
    <row r="86" spans="1:8" x14ac:dyDescent="0.25">
      <c r="A86" s="18" t="s">
        <v>29</v>
      </c>
      <c r="B86" s="6">
        <v>161</v>
      </c>
      <c r="C86" s="5">
        <f t="shared" si="7"/>
        <v>5.336426914153132E-2</v>
      </c>
    </row>
    <row r="87" spans="1:8" x14ac:dyDescent="0.25">
      <c r="A87" s="18" t="s">
        <v>122</v>
      </c>
      <c r="B87" s="6">
        <v>125</v>
      </c>
      <c r="C87" s="5">
        <f t="shared" si="7"/>
        <v>4.1431885979449787E-2</v>
      </c>
    </row>
    <row r="88" spans="1:8" x14ac:dyDescent="0.25">
      <c r="A88" s="18" t="s">
        <v>23</v>
      </c>
      <c r="B88" s="6">
        <v>113</v>
      </c>
      <c r="C88" s="5">
        <f t="shared" si="7"/>
        <v>3.7454424925422607E-2</v>
      </c>
    </row>
    <row r="89" spans="1:8" x14ac:dyDescent="0.25">
      <c r="A89" s="19" t="s">
        <v>33</v>
      </c>
      <c r="B89" s="14">
        <v>715</v>
      </c>
      <c r="C89" s="15">
        <f t="shared" si="7"/>
        <v>0.23699038780245277</v>
      </c>
    </row>
    <row r="90" spans="1:8" ht="15.75" thickBot="1" x14ac:dyDescent="0.3">
      <c r="A90" s="43" t="s">
        <v>5</v>
      </c>
      <c r="B90" s="3">
        <f>SUM(B79:B89)</f>
        <v>3017</v>
      </c>
      <c r="C90" s="2"/>
    </row>
    <row r="91" spans="1:8" ht="15.75" thickBot="1" x14ac:dyDescent="0.3">
      <c r="A91" s="40"/>
      <c r="B91" s="40"/>
      <c r="C91" s="40"/>
    </row>
    <row r="92" spans="1:8" ht="52.5" thickBot="1" x14ac:dyDescent="0.35">
      <c r="A92" s="71" t="s">
        <v>42</v>
      </c>
      <c r="B92" s="72"/>
      <c r="C92" s="73"/>
      <c r="D92" s="40"/>
      <c r="E92" s="40"/>
      <c r="F92" s="40"/>
      <c r="G92" s="51"/>
      <c r="H92" s="40"/>
    </row>
    <row r="93" spans="1:8" x14ac:dyDescent="0.25">
      <c r="A93" s="12" t="s">
        <v>12</v>
      </c>
      <c r="B93" s="4" t="s">
        <v>1</v>
      </c>
      <c r="C93" s="11" t="s">
        <v>2</v>
      </c>
      <c r="D93" s="40"/>
      <c r="E93" s="51"/>
      <c r="F93" s="40"/>
      <c r="G93" s="54"/>
      <c r="H93" s="40"/>
    </row>
    <row r="94" spans="1:8" x14ac:dyDescent="0.25">
      <c r="A94" s="42" t="s">
        <v>20</v>
      </c>
      <c r="B94" s="6">
        <v>88</v>
      </c>
      <c r="C94" s="5">
        <f t="shared" ref="C94:C104" si="8">B94/$B$105</f>
        <v>0.22857142857142856</v>
      </c>
      <c r="D94" s="40"/>
      <c r="E94" s="54"/>
      <c r="F94" s="40"/>
      <c r="G94" s="54"/>
      <c r="H94" s="40"/>
    </row>
    <row r="95" spans="1:8" x14ac:dyDescent="0.25">
      <c r="A95" s="37" t="s">
        <v>13</v>
      </c>
      <c r="B95" s="6">
        <v>53</v>
      </c>
      <c r="C95" s="5">
        <f t="shared" si="8"/>
        <v>0.13766233766233765</v>
      </c>
      <c r="D95" s="40"/>
      <c r="E95" s="54"/>
    </row>
    <row r="96" spans="1:8" x14ac:dyDescent="0.25">
      <c r="A96" s="37" t="s">
        <v>15</v>
      </c>
      <c r="B96" s="6">
        <v>52</v>
      </c>
      <c r="C96" s="5">
        <f t="shared" si="8"/>
        <v>0.13506493506493505</v>
      </c>
    </row>
    <row r="97" spans="1:4" x14ac:dyDescent="0.25">
      <c r="A97" s="37" t="s">
        <v>103</v>
      </c>
      <c r="B97" s="6">
        <v>41</v>
      </c>
      <c r="C97" s="5">
        <f t="shared" si="8"/>
        <v>0.10649350649350649</v>
      </c>
    </row>
    <row r="98" spans="1:4" x14ac:dyDescent="0.25">
      <c r="A98" s="37" t="s">
        <v>23</v>
      </c>
      <c r="B98" s="6">
        <v>37</v>
      </c>
      <c r="C98" s="5">
        <f t="shared" si="8"/>
        <v>9.6103896103896108E-2</v>
      </c>
    </row>
    <row r="99" spans="1:4" x14ac:dyDescent="0.25">
      <c r="A99" s="37" t="s">
        <v>14</v>
      </c>
      <c r="B99" s="6">
        <v>36</v>
      </c>
      <c r="C99" s="5">
        <f t="shared" si="8"/>
        <v>9.350649350649351E-2</v>
      </c>
    </row>
    <row r="100" spans="1:4" x14ac:dyDescent="0.25">
      <c r="A100" s="37" t="s">
        <v>19</v>
      </c>
      <c r="B100" s="6">
        <v>21</v>
      </c>
      <c r="C100" s="5">
        <f t="shared" si="8"/>
        <v>5.4545454545454543E-2</v>
      </c>
    </row>
    <row r="101" spans="1:4" x14ac:dyDescent="0.25">
      <c r="A101" s="37" t="s">
        <v>18</v>
      </c>
      <c r="B101" s="6">
        <v>18</v>
      </c>
      <c r="C101" s="5">
        <f t="shared" si="8"/>
        <v>4.6753246753246755E-2</v>
      </c>
    </row>
    <row r="102" spans="1:4" x14ac:dyDescent="0.25">
      <c r="A102" s="37" t="s">
        <v>130</v>
      </c>
      <c r="B102" s="6">
        <v>18</v>
      </c>
      <c r="C102" s="5">
        <f t="shared" si="8"/>
        <v>4.6753246753246755E-2</v>
      </c>
      <c r="D102" s="40"/>
    </row>
    <row r="103" spans="1:4" ht="17.100000000000001" customHeight="1" x14ac:dyDescent="0.25">
      <c r="A103" s="37" t="s">
        <v>123</v>
      </c>
      <c r="B103" s="6">
        <v>16</v>
      </c>
      <c r="C103" s="5">
        <f t="shared" si="8"/>
        <v>4.1558441558441558E-2</v>
      </c>
    </row>
    <row r="104" spans="1:4" ht="34.5" customHeight="1" x14ac:dyDescent="0.25">
      <c r="A104" s="13" t="s">
        <v>17</v>
      </c>
      <c r="B104" s="14">
        <v>5</v>
      </c>
      <c r="C104" s="15">
        <f t="shared" si="8"/>
        <v>1.2987012987012988E-2</v>
      </c>
    </row>
    <row r="105" spans="1:4" ht="15.75" thickBot="1" x14ac:dyDescent="0.3">
      <c r="A105" s="38" t="s">
        <v>5</v>
      </c>
      <c r="B105" s="3">
        <f>SUM(B94:B104)</f>
        <v>385</v>
      </c>
      <c r="C105" s="2"/>
    </row>
    <row r="113" spans="4:16" x14ac:dyDescent="0.25">
      <c r="D113" s="40"/>
      <c r="E113" s="40"/>
      <c r="F113" s="40"/>
      <c r="G113" s="40"/>
      <c r="H113" s="40"/>
      <c r="I113" s="40"/>
      <c r="J113" s="40"/>
      <c r="K113" s="40"/>
      <c r="L113" s="40"/>
      <c r="M113" s="40"/>
      <c r="N113" s="40"/>
      <c r="O113" s="40"/>
      <c r="P113" s="40"/>
    </row>
    <row r="114" spans="4:16" ht="18" customHeight="1" x14ac:dyDescent="0.25">
      <c r="D114" s="40"/>
      <c r="E114" s="40"/>
      <c r="F114" s="40"/>
      <c r="G114" s="40"/>
      <c r="H114" s="40"/>
      <c r="I114" s="40"/>
      <c r="J114" s="40"/>
      <c r="K114" s="40"/>
      <c r="L114" s="40"/>
      <c r="M114" s="40"/>
      <c r="N114" s="40"/>
      <c r="O114" s="40"/>
      <c r="P114" s="40"/>
    </row>
    <row r="115" spans="4:16" ht="32.25" customHeight="1" x14ac:dyDescent="0.25"/>
    <row r="125" spans="4:16" ht="33" customHeight="1" x14ac:dyDescent="0.25"/>
    <row r="130" spans="1:5" x14ac:dyDescent="0.25">
      <c r="D130" s="40" t="s">
        <v>160</v>
      </c>
      <c r="E130" s="40" t="s">
        <v>160</v>
      </c>
    </row>
    <row r="132" spans="1:5" ht="33" customHeight="1" x14ac:dyDescent="0.25"/>
    <row r="139" spans="1:5" x14ac:dyDescent="0.25">
      <c r="A139" s="49"/>
      <c r="B139" s="6"/>
      <c r="C139" s="49"/>
    </row>
    <row r="140" spans="1:5" x14ac:dyDescent="0.25">
      <c r="A140" s="51" t="s">
        <v>137</v>
      </c>
      <c r="B140" s="40"/>
      <c r="C140" s="51"/>
    </row>
    <row r="141" spans="1:5" x14ac:dyDescent="0.25">
      <c r="A141" s="54" t="s">
        <v>138</v>
      </c>
      <c r="B141" s="40"/>
      <c r="C141" s="54"/>
    </row>
    <row r="142" spans="1:5" x14ac:dyDescent="0.25">
      <c r="A142" s="54" t="s">
        <v>139</v>
      </c>
      <c r="B142" s="40"/>
      <c r="C142" s="54"/>
    </row>
    <row r="143" spans="1:5" x14ac:dyDescent="0.25">
      <c r="A143" s="40"/>
      <c r="B143" s="40"/>
      <c r="C143" s="40"/>
    </row>
    <row r="146" spans="4:7" x14ac:dyDescent="0.25">
      <c r="D146" s="40"/>
      <c r="E146" s="40"/>
      <c r="F146" s="40"/>
      <c r="G146" s="40"/>
    </row>
    <row r="148" spans="4:7" ht="33" customHeight="1" x14ac:dyDescent="0.25"/>
    <row r="203" spans="1:3" x14ac:dyDescent="0.25">
      <c r="A203" s="40"/>
      <c r="B203" s="40"/>
      <c r="C203" s="40"/>
    </row>
    <row r="204" spans="1:3" x14ac:dyDescent="0.25">
      <c r="A204" s="40" t="s">
        <v>142</v>
      </c>
      <c r="B204" s="40"/>
      <c r="C204" s="40"/>
    </row>
    <row r="205" spans="1:3" x14ac:dyDescent="0.25">
      <c r="A205" s="40"/>
      <c r="B205" s="40"/>
      <c r="C205" s="40"/>
    </row>
  </sheetData>
  <mergeCells count="9">
    <mergeCell ref="A47:C47"/>
    <mergeCell ref="A53:C53"/>
    <mergeCell ref="A1:F1"/>
    <mergeCell ref="A5:C5"/>
    <mergeCell ref="I5:J5"/>
    <mergeCell ref="A12:C12"/>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6"/>
  <sheetViews>
    <sheetView view="pageLayout" topLeftCell="A82" workbookViewId="0">
      <selection activeCell="A96" sqref="A94:G96"/>
    </sheetView>
  </sheetViews>
  <sheetFormatPr defaultColWidth="9.140625" defaultRowHeight="15" x14ac:dyDescent="0.25"/>
  <cols>
    <col min="1" max="1" width="32.140625" style="40" customWidth="1"/>
    <col min="2" max="2" width="21.28515625" style="40" customWidth="1"/>
    <col min="3" max="3" width="13.140625" style="40" customWidth="1"/>
    <col min="4" max="4" width="3.7109375" style="40" customWidth="1"/>
    <col min="5" max="5" width="32.140625" style="40" customWidth="1"/>
    <col min="6" max="6" width="12.85546875" style="40" customWidth="1"/>
    <col min="7" max="7" width="8.7109375" style="40" customWidth="1"/>
    <col min="8" max="8" width="8.85546875" style="40" customWidth="1"/>
    <col min="9" max="9" width="41.140625" style="40" customWidth="1"/>
    <col min="10" max="10" width="14.85546875" style="40" customWidth="1"/>
    <col min="11" max="11" width="17.140625" style="40" customWidth="1"/>
    <col min="12" max="12" width="9.140625" style="40"/>
    <col min="13" max="13" width="25.140625" style="40" bestFit="1" customWidth="1"/>
    <col min="14" max="14" width="10.7109375" style="40" bestFit="1" customWidth="1"/>
    <col min="15" max="15" width="7.85546875" style="40" bestFit="1" customWidth="1"/>
    <col min="16" max="16384" width="9.140625" style="40"/>
  </cols>
  <sheetData>
    <row r="1" spans="1:12" ht="39" customHeight="1" x14ac:dyDescent="0.25">
      <c r="A1" s="157" t="s">
        <v>178</v>
      </c>
      <c r="B1" s="157"/>
      <c r="C1" s="157"/>
      <c r="D1" s="157"/>
      <c r="E1" s="157"/>
      <c r="F1" s="157"/>
      <c r="G1" s="157"/>
    </row>
    <row r="2" spans="1:12" ht="21" customHeight="1" thickBot="1" x14ac:dyDescent="0.3">
      <c r="D2" s="69"/>
    </row>
    <row r="3" spans="1:12" ht="17.25" customHeight="1" thickBot="1" x14ac:dyDescent="0.35">
      <c r="A3" s="158" t="s">
        <v>34</v>
      </c>
      <c r="B3" s="159"/>
      <c r="C3" s="160"/>
    </row>
    <row r="4" spans="1:12" ht="18" customHeight="1" x14ac:dyDescent="0.25">
      <c r="A4" s="12" t="s">
        <v>0</v>
      </c>
      <c r="B4" s="4" t="s">
        <v>1</v>
      </c>
      <c r="C4" s="11" t="s">
        <v>2</v>
      </c>
    </row>
    <row r="5" spans="1:12" x14ac:dyDescent="0.25">
      <c r="A5" s="42" t="s">
        <v>3</v>
      </c>
      <c r="B5" s="6">
        <v>1074195</v>
      </c>
      <c r="C5" s="5">
        <f>B5/B7</f>
        <v>0.91156767967522179</v>
      </c>
    </row>
    <row r="6" spans="1:12" x14ac:dyDescent="0.25">
      <c r="A6" s="13" t="s">
        <v>168</v>
      </c>
      <c r="B6" s="14">
        <v>104209</v>
      </c>
      <c r="C6" s="15">
        <f>B6/B7</f>
        <v>8.8432320324778255E-2</v>
      </c>
    </row>
    <row r="7" spans="1:12" ht="15.75" thickBot="1" x14ac:dyDescent="0.3">
      <c r="A7" s="113" t="s">
        <v>5</v>
      </c>
      <c r="B7" s="86">
        <f>SUM(B5:B6)</f>
        <v>1178404</v>
      </c>
      <c r="C7" s="2"/>
    </row>
    <row r="8" spans="1:12" ht="29.25" customHeight="1" x14ac:dyDescent="0.25">
      <c r="A8" s="49"/>
      <c r="B8" s="87"/>
      <c r="C8" s="49"/>
    </row>
    <row r="9" spans="1:12" ht="15.75" x14ac:dyDescent="0.25">
      <c r="A9" s="148" t="s">
        <v>169</v>
      </c>
      <c r="B9" s="148"/>
      <c r="C9" s="148"/>
      <c r="D9" s="148"/>
      <c r="E9" s="148"/>
      <c r="F9" s="148"/>
      <c r="G9" s="148"/>
    </row>
    <row r="10" spans="1:12" ht="16.5" customHeight="1" thickBot="1" x14ac:dyDescent="0.3">
      <c r="A10" s="49"/>
      <c r="B10" s="87"/>
      <c r="C10" s="49"/>
      <c r="H10" s="49"/>
      <c r="I10" s="49"/>
      <c r="J10" s="6"/>
      <c r="K10" s="88"/>
      <c r="L10" s="49"/>
    </row>
    <row r="11" spans="1:12" ht="18" thickBot="1" x14ac:dyDescent="0.35">
      <c r="A11" s="158" t="s">
        <v>35</v>
      </c>
      <c r="B11" s="159"/>
      <c r="C11" s="160"/>
    </row>
    <row r="12" spans="1:12" x14ac:dyDescent="0.25">
      <c r="A12" s="12" t="s">
        <v>6</v>
      </c>
      <c r="B12" s="4" t="s">
        <v>7</v>
      </c>
      <c r="C12" s="11" t="s">
        <v>2</v>
      </c>
    </row>
    <row r="13" spans="1:12" x14ac:dyDescent="0.25">
      <c r="A13" s="89" t="s">
        <v>36</v>
      </c>
      <c r="B13" s="90">
        <v>104296</v>
      </c>
      <c r="C13" s="91">
        <f>B13/B20</f>
        <v>8.8506148994742045E-2</v>
      </c>
    </row>
    <row r="14" spans="1:12" x14ac:dyDescent="0.25">
      <c r="A14" s="92" t="s">
        <v>37</v>
      </c>
      <c r="B14" s="93">
        <v>136192</v>
      </c>
      <c r="C14" s="94">
        <f>B14/B20</f>
        <v>0.11557326689318774</v>
      </c>
    </row>
    <row r="15" spans="1:12" ht="15.75" customHeight="1" x14ac:dyDescent="0.25">
      <c r="A15" s="42" t="s">
        <v>38</v>
      </c>
      <c r="B15" s="6">
        <v>146877</v>
      </c>
      <c r="C15" s="5">
        <f>B15/B20</f>
        <v>0.12464061561230275</v>
      </c>
    </row>
    <row r="16" spans="1:12" ht="15" customHeight="1" x14ac:dyDescent="0.25">
      <c r="A16" s="42" t="s">
        <v>39</v>
      </c>
      <c r="B16" s="6">
        <v>155961</v>
      </c>
      <c r="C16" s="5">
        <f>B16/B20</f>
        <v>0.1323493470830038</v>
      </c>
      <c r="I16" s="49"/>
      <c r="J16" s="49"/>
      <c r="K16" s="49"/>
    </row>
    <row r="17" spans="1:15" ht="15.75" customHeight="1" x14ac:dyDescent="0.25">
      <c r="A17" s="42" t="s">
        <v>40</v>
      </c>
      <c r="B17" s="6">
        <v>142792</v>
      </c>
      <c r="C17" s="5">
        <f>B17/B20</f>
        <v>0.12117406254561254</v>
      </c>
      <c r="E17" s="49"/>
      <c r="F17" s="49"/>
      <c r="G17" s="49"/>
      <c r="I17" s="49"/>
      <c r="J17" s="49"/>
      <c r="K17" s="49"/>
    </row>
    <row r="18" spans="1:15" x14ac:dyDescent="0.25">
      <c r="A18" s="42" t="s">
        <v>8</v>
      </c>
      <c r="B18" s="6">
        <v>469237</v>
      </c>
      <c r="C18" s="5">
        <f>B18/B20</f>
        <v>0.39819705296316033</v>
      </c>
      <c r="E18" s="49"/>
      <c r="F18" s="49"/>
      <c r="G18" s="49"/>
      <c r="I18" s="49"/>
      <c r="J18" s="49"/>
      <c r="K18" s="49"/>
    </row>
    <row r="19" spans="1:15" x14ac:dyDescent="0.25">
      <c r="A19" s="13" t="s">
        <v>9</v>
      </c>
      <c r="B19" s="14">
        <v>23049</v>
      </c>
      <c r="C19" s="15">
        <f>B19/B20</f>
        <v>1.9559505907990809E-2</v>
      </c>
      <c r="E19" s="49"/>
      <c r="F19" s="49"/>
      <c r="G19" s="49"/>
      <c r="I19" s="49"/>
      <c r="J19" s="49"/>
      <c r="K19" s="49"/>
    </row>
    <row r="20" spans="1:15" ht="15.75" thickBot="1" x14ac:dyDescent="0.3">
      <c r="A20" s="113" t="s">
        <v>5</v>
      </c>
      <c r="B20" s="86">
        <f>SUM(B13:B19)</f>
        <v>1178404</v>
      </c>
      <c r="C20" s="2"/>
      <c r="E20" s="49"/>
      <c r="F20" s="49"/>
      <c r="G20" s="49"/>
      <c r="I20" s="49"/>
      <c r="J20" s="49"/>
      <c r="K20" s="49"/>
    </row>
    <row r="21" spans="1:15" ht="9" customHeight="1" x14ac:dyDescent="0.25">
      <c r="A21" s="49"/>
      <c r="B21" s="87"/>
      <c r="C21" s="49"/>
      <c r="E21" s="49"/>
      <c r="F21" s="49"/>
      <c r="G21" s="49"/>
      <c r="I21" s="49"/>
      <c r="J21" s="49"/>
      <c r="K21" s="49"/>
    </row>
    <row r="22" spans="1:15" ht="32.25" customHeight="1" x14ac:dyDescent="0.25">
      <c r="A22" s="161" t="s">
        <v>179</v>
      </c>
      <c r="B22" s="146"/>
      <c r="C22" s="146"/>
      <c r="D22" s="146"/>
      <c r="E22" s="146"/>
      <c r="F22" s="146"/>
      <c r="G22" s="146"/>
      <c r="I22" s="49"/>
      <c r="J22" s="49"/>
      <c r="K22" s="49"/>
    </row>
    <row r="23" spans="1:15" ht="15" customHeight="1" thickBot="1" x14ac:dyDescent="0.3">
      <c r="E23" s="49"/>
      <c r="F23" s="49"/>
      <c r="G23" s="49"/>
      <c r="I23" s="49"/>
      <c r="J23" s="49"/>
      <c r="K23" s="49"/>
    </row>
    <row r="24" spans="1:15" ht="18" thickBot="1" x14ac:dyDescent="0.35">
      <c r="A24" s="158" t="s">
        <v>10</v>
      </c>
      <c r="B24" s="159"/>
      <c r="C24" s="160"/>
      <c r="E24" s="49"/>
      <c r="F24" s="49"/>
      <c r="G24" s="49"/>
      <c r="I24" s="49"/>
      <c r="J24" s="49"/>
      <c r="K24" s="49"/>
    </row>
    <row r="25" spans="1:15" x14ac:dyDescent="0.25">
      <c r="A25" s="12" t="s">
        <v>6</v>
      </c>
      <c r="B25" s="4" t="s">
        <v>7</v>
      </c>
      <c r="C25" s="11" t="s">
        <v>2</v>
      </c>
      <c r="E25" s="49"/>
      <c r="F25" s="49"/>
      <c r="G25" s="49"/>
    </row>
    <row r="26" spans="1:15" x14ac:dyDescent="0.25">
      <c r="A26" s="95" t="s">
        <v>36</v>
      </c>
      <c r="B26" s="96">
        <v>22782</v>
      </c>
      <c r="C26" s="97">
        <f>B26/B33</f>
        <v>0.21861835350113715</v>
      </c>
      <c r="E26" s="49"/>
      <c r="F26" s="49"/>
      <c r="G26" s="49"/>
    </row>
    <row r="27" spans="1:15" x14ac:dyDescent="0.25">
      <c r="A27" s="98" t="s">
        <v>37</v>
      </c>
      <c r="B27" s="99">
        <v>25485</v>
      </c>
      <c r="C27" s="100">
        <f>B27/B33</f>
        <v>0.24455661219280483</v>
      </c>
      <c r="E27" s="49"/>
      <c r="F27" s="49"/>
      <c r="G27" s="49"/>
    </row>
    <row r="28" spans="1:15" x14ac:dyDescent="0.25">
      <c r="A28" s="42" t="s">
        <v>38</v>
      </c>
      <c r="B28" s="6">
        <v>18440</v>
      </c>
      <c r="C28" s="5">
        <f>B28/B33</f>
        <v>0.17695208667197651</v>
      </c>
    </row>
    <row r="29" spans="1:15" x14ac:dyDescent="0.25">
      <c r="A29" s="42" t="s">
        <v>39</v>
      </c>
      <c r="B29" s="6">
        <v>14279</v>
      </c>
      <c r="C29" s="5">
        <f>B29/B33</f>
        <v>0.13702271396904298</v>
      </c>
    </row>
    <row r="30" spans="1:15" ht="14.45" customHeight="1" x14ac:dyDescent="0.25">
      <c r="A30" s="42" t="s">
        <v>40</v>
      </c>
      <c r="B30" s="6">
        <v>8585</v>
      </c>
      <c r="C30" s="5">
        <f>B30/B33</f>
        <v>8.2382519743976049E-2</v>
      </c>
      <c r="I30" s="49"/>
      <c r="J30" s="49"/>
      <c r="K30" s="49"/>
    </row>
    <row r="31" spans="1:15" ht="15" customHeight="1" x14ac:dyDescent="0.25">
      <c r="A31" s="42" t="s">
        <v>8</v>
      </c>
      <c r="B31" s="6">
        <v>13136</v>
      </c>
      <c r="C31" s="5">
        <f>B31/B33</f>
        <v>0.126054371503421</v>
      </c>
      <c r="I31" s="49"/>
      <c r="J31" s="49"/>
      <c r="K31" s="49"/>
    </row>
    <row r="32" spans="1:15" ht="14.45" customHeight="1" x14ac:dyDescent="0.25">
      <c r="A32" s="13" t="s">
        <v>9</v>
      </c>
      <c r="B32" s="6">
        <v>1502</v>
      </c>
      <c r="C32" s="15">
        <f>B32/B33</f>
        <v>1.4413342417641471E-2</v>
      </c>
      <c r="I32" s="49"/>
      <c r="J32" s="49"/>
      <c r="K32" s="49"/>
      <c r="M32" s="49"/>
      <c r="N32" s="6"/>
      <c r="O32" s="49"/>
    </row>
    <row r="33" spans="1:15" ht="15.75" thickBot="1" x14ac:dyDescent="0.3">
      <c r="A33" s="113" t="s">
        <v>5</v>
      </c>
      <c r="B33" s="101">
        <f>SUM(B26:B32)</f>
        <v>104209</v>
      </c>
      <c r="C33" s="2"/>
      <c r="I33" s="49"/>
      <c r="J33" s="49"/>
      <c r="K33" s="49"/>
    </row>
    <row r="34" spans="1:15" ht="17.25" customHeight="1" x14ac:dyDescent="0.25">
      <c r="A34" s="49"/>
      <c r="B34" s="87"/>
      <c r="C34" s="49"/>
      <c r="I34" s="49"/>
      <c r="J34" s="49"/>
      <c r="K34" s="49"/>
    </row>
    <row r="35" spans="1:15" ht="66.75" customHeight="1" x14ac:dyDescent="0.25">
      <c r="A35" s="162" t="s">
        <v>180</v>
      </c>
      <c r="B35" s="163"/>
      <c r="C35" s="163"/>
      <c r="D35" s="163"/>
      <c r="E35" s="163"/>
      <c r="F35" s="163"/>
      <c r="G35" s="163"/>
      <c r="I35" s="49"/>
      <c r="J35" s="49"/>
      <c r="K35" s="49"/>
    </row>
    <row r="36" spans="1:15" ht="9.75" customHeight="1" thickBot="1" x14ac:dyDescent="0.3">
      <c r="I36" s="49"/>
      <c r="J36" s="49"/>
      <c r="K36" s="49"/>
    </row>
    <row r="37" spans="1:15" ht="27" customHeight="1" thickBot="1" x14ac:dyDescent="0.35">
      <c r="A37" s="154" t="s">
        <v>170</v>
      </c>
      <c r="B37" s="155"/>
      <c r="C37" s="156"/>
      <c r="I37" s="49"/>
      <c r="J37" s="49"/>
      <c r="K37" s="49"/>
    </row>
    <row r="38" spans="1:15" x14ac:dyDescent="0.25">
      <c r="A38" s="12" t="s">
        <v>0</v>
      </c>
      <c r="B38" s="4" t="s">
        <v>1</v>
      </c>
      <c r="C38" s="11" t="s">
        <v>2</v>
      </c>
      <c r="I38" s="49"/>
      <c r="J38" s="49"/>
      <c r="K38" s="49"/>
    </row>
    <row r="39" spans="1:15" x14ac:dyDescent="0.25">
      <c r="A39" s="42" t="s">
        <v>3</v>
      </c>
      <c r="B39" s="6">
        <f>B41-B40</f>
        <v>81514</v>
      </c>
      <c r="C39" s="5">
        <f>B39/B41</f>
        <v>0.78156401012502874</v>
      </c>
    </row>
    <row r="40" spans="1:15" x14ac:dyDescent="0.25">
      <c r="A40" s="13" t="s">
        <v>168</v>
      </c>
      <c r="B40" s="102">
        <v>22782</v>
      </c>
      <c r="C40" s="15">
        <f>B40/B41</f>
        <v>0.21843598987497123</v>
      </c>
      <c r="M40" s="49"/>
      <c r="N40" s="6"/>
      <c r="O40" s="49"/>
    </row>
    <row r="41" spans="1:15" ht="15.75" thickBot="1" x14ac:dyDescent="0.3">
      <c r="A41" s="113" t="s">
        <v>5</v>
      </c>
      <c r="B41" s="114">
        <v>104296</v>
      </c>
      <c r="C41" s="45"/>
    </row>
    <row r="42" spans="1:15" ht="5.25" customHeight="1" x14ac:dyDescent="0.25">
      <c r="A42" s="49"/>
      <c r="B42" s="6"/>
      <c r="C42" s="88"/>
    </row>
    <row r="43" spans="1:15" ht="42.75" customHeight="1" x14ac:dyDescent="0.25">
      <c r="A43" s="161" t="s">
        <v>181</v>
      </c>
      <c r="B43" s="146"/>
      <c r="C43" s="146"/>
      <c r="D43" s="146"/>
      <c r="E43" s="146"/>
      <c r="F43" s="146"/>
      <c r="G43" s="146"/>
    </row>
    <row r="44" spans="1:15" ht="17.25" customHeight="1" thickBot="1" x14ac:dyDescent="0.3"/>
    <row r="45" spans="1:15" ht="24" customHeight="1" x14ac:dyDescent="0.3">
      <c r="A45" s="164" t="s">
        <v>171</v>
      </c>
      <c r="B45" s="165"/>
      <c r="C45" s="166"/>
    </row>
    <row r="46" spans="1:15" x14ac:dyDescent="0.25">
      <c r="A46" s="103" t="s">
        <v>0</v>
      </c>
      <c r="B46" s="104" t="s">
        <v>1</v>
      </c>
      <c r="C46" s="105" t="s">
        <v>2</v>
      </c>
    </row>
    <row r="47" spans="1:15" x14ac:dyDescent="0.25">
      <c r="A47" s="106" t="s">
        <v>3</v>
      </c>
      <c r="B47" s="6">
        <f>B49-B48</f>
        <v>110707</v>
      </c>
      <c r="C47" s="5">
        <f>B47/B49</f>
        <v>0.81287447133458646</v>
      </c>
    </row>
    <row r="48" spans="1:15" x14ac:dyDescent="0.25">
      <c r="A48" s="13" t="s">
        <v>168</v>
      </c>
      <c r="B48" s="102">
        <v>25485</v>
      </c>
      <c r="C48" s="15">
        <f>B48/B49</f>
        <v>0.18712552866541354</v>
      </c>
      <c r="I48" s="49"/>
      <c r="J48" s="6"/>
      <c r="K48" s="49"/>
    </row>
    <row r="49" spans="1:7" ht="15.75" thickBot="1" x14ac:dyDescent="0.3">
      <c r="A49" s="115" t="s">
        <v>5</v>
      </c>
      <c r="B49" s="116">
        <v>136192</v>
      </c>
      <c r="C49" s="107"/>
    </row>
    <row r="50" spans="1:7" ht="6.75" customHeight="1" x14ac:dyDescent="0.25"/>
    <row r="51" spans="1:7" ht="38.25" customHeight="1" thickBot="1" x14ac:dyDescent="0.3">
      <c r="A51" s="161" t="s">
        <v>182</v>
      </c>
      <c r="B51" s="146"/>
      <c r="C51" s="146"/>
      <c r="D51" s="146"/>
      <c r="E51" s="146"/>
      <c r="F51" s="146"/>
      <c r="G51" s="146"/>
    </row>
    <row r="52" spans="1:7" ht="36.75" customHeight="1" thickBot="1" x14ac:dyDescent="0.35">
      <c r="A52" s="151" t="s">
        <v>11</v>
      </c>
      <c r="B52" s="152"/>
      <c r="C52" s="153"/>
      <c r="E52" s="154" t="s">
        <v>42</v>
      </c>
      <c r="F52" s="155"/>
      <c r="G52" s="156"/>
    </row>
    <row r="53" spans="1:7" x14ac:dyDescent="0.25">
      <c r="A53" s="12" t="s">
        <v>12</v>
      </c>
      <c r="B53" s="4" t="s">
        <v>1</v>
      </c>
      <c r="C53" s="11" t="s">
        <v>2</v>
      </c>
      <c r="E53" s="12" t="s">
        <v>12</v>
      </c>
      <c r="F53" s="4" t="s">
        <v>1</v>
      </c>
      <c r="G53" s="108" t="s">
        <v>2</v>
      </c>
    </row>
    <row r="54" spans="1:7" x14ac:dyDescent="0.25">
      <c r="A54" s="125" t="s">
        <v>13</v>
      </c>
      <c r="B54" s="80">
        <f>28164+4971+573+1807+2830+406+1453+2682+12170+310</f>
        <v>55366</v>
      </c>
      <c r="C54" s="136">
        <f>B54/$B$87</f>
        <v>0.53221697795806944</v>
      </c>
      <c r="E54" s="106" t="s">
        <v>13</v>
      </c>
      <c r="F54" s="6">
        <f>691+114+3334+17582+1659+148+499+1237+7909+53</f>
        <v>33226</v>
      </c>
      <c r="G54" s="5">
        <f>F54/F82</f>
        <v>0.68837922390038742</v>
      </c>
    </row>
    <row r="55" spans="1:7" x14ac:dyDescent="0.25">
      <c r="A55" s="125" t="s">
        <v>14</v>
      </c>
      <c r="B55" s="127">
        <f>2425+505+2167+410+100+866+2195+335+706+307</f>
        <v>10016</v>
      </c>
      <c r="C55" s="136">
        <f t="shared" ref="C55:C86" si="0">B55/$B$87</f>
        <v>9.6280844764440682E-2</v>
      </c>
      <c r="E55" s="42" t="s">
        <v>184</v>
      </c>
      <c r="F55" s="6">
        <f>1944+175+51+57+921</f>
        <v>3148</v>
      </c>
      <c r="G55" s="5">
        <f>F55/F82</f>
        <v>6.5220544057016175E-2</v>
      </c>
    </row>
    <row r="56" spans="1:7" x14ac:dyDescent="0.25">
      <c r="A56" s="125" t="s">
        <v>184</v>
      </c>
      <c r="B56" s="127">
        <f>171+6296+449+1845</f>
        <v>8761</v>
      </c>
      <c r="C56" s="136">
        <f t="shared" si="0"/>
        <v>8.4216901056436186E-2</v>
      </c>
      <c r="E56" s="42" t="s">
        <v>14</v>
      </c>
      <c r="F56" s="6">
        <f>549+108+925+54+22+424+490+222+214+36</f>
        <v>3044</v>
      </c>
      <c r="G56" s="5">
        <f>F56/F82</f>
        <v>6.3065862804814882E-2</v>
      </c>
    </row>
    <row r="57" spans="1:7" x14ac:dyDescent="0.25">
      <c r="A57" s="125" t="s">
        <v>17</v>
      </c>
      <c r="B57" s="127">
        <f>1109+102+663+233+26+233+528+225</f>
        <v>3119</v>
      </c>
      <c r="C57" s="136">
        <f t="shared" si="0"/>
        <v>2.9982024243239865E-2</v>
      </c>
      <c r="E57" s="42" t="s">
        <v>18</v>
      </c>
      <c r="F57" s="6">
        <f>27+138+23+75+215+873+18</f>
        <v>1369</v>
      </c>
      <c r="G57" s="5">
        <f>F57/F82</f>
        <v>2.8363063790995919E-2</v>
      </c>
    </row>
    <row r="58" spans="1:7" x14ac:dyDescent="0.25">
      <c r="A58" s="125" t="s">
        <v>172</v>
      </c>
      <c r="B58" s="127">
        <f>193+81+41+762+592+241+188+141+175+237+437</f>
        <v>3088</v>
      </c>
      <c r="C58" s="136">
        <f t="shared" si="0"/>
        <v>2.9684030414595931E-2</v>
      </c>
      <c r="E58" s="42" t="s">
        <v>17</v>
      </c>
      <c r="F58" s="6">
        <f>59+400+89+109+22+80+145+5</f>
        <v>909</v>
      </c>
      <c r="G58" s="5">
        <f>F58/F82</f>
        <v>1.8832742867797875E-2</v>
      </c>
    </row>
    <row r="59" spans="1:7" x14ac:dyDescent="0.25">
      <c r="A59" s="125" t="s">
        <v>19</v>
      </c>
      <c r="B59" s="127">
        <f>180+369+505+360+290+206+223+284+323</f>
        <v>2740</v>
      </c>
      <c r="C59" s="136">
        <f t="shared" si="0"/>
        <v>2.6338809370464004E-2</v>
      </c>
      <c r="E59" s="42" t="s">
        <v>19</v>
      </c>
      <c r="F59" s="6">
        <f>53+171+113+77+201+107+21</f>
        <v>743</v>
      </c>
      <c r="G59" s="5">
        <f>F59/F82</f>
        <v>1.5393540099861189E-2</v>
      </c>
    </row>
    <row r="60" spans="1:7" x14ac:dyDescent="0.25">
      <c r="A60" s="125" t="s">
        <v>20</v>
      </c>
      <c r="B60" s="127">
        <f>298+424+247+152+640+255</f>
        <v>2016</v>
      </c>
      <c r="C60" s="136">
        <f t="shared" si="0"/>
        <v>1.9379211566005632E-2</v>
      </c>
      <c r="E60" s="42" t="s">
        <v>20</v>
      </c>
      <c r="F60" s="6">
        <f>69+165+99+240+88</f>
        <v>661</v>
      </c>
      <c r="G60" s="5">
        <f>F60/F82</f>
        <v>1.369465680485632E-2</v>
      </c>
    </row>
    <row r="61" spans="1:7" x14ac:dyDescent="0.25">
      <c r="A61" s="125" t="s">
        <v>26</v>
      </c>
      <c r="B61" s="127">
        <f>155+277+274+49+266+106+462</f>
        <v>1589</v>
      </c>
      <c r="C61" s="136">
        <f t="shared" si="0"/>
        <v>1.5274586894039162E-2</v>
      </c>
      <c r="E61" s="42" t="s">
        <v>172</v>
      </c>
      <c r="F61" s="6">
        <f>57+23+80+145+125+70+52</f>
        <v>552</v>
      </c>
      <c r="G61" s="5">
        <f>F61/F82</f>
        <v>1.1436385107837652E-2</v>
      </c>
    </row>
    <row r="62" spans="1:7" x14ac:dyDescent="0.25">
      <c r="A62" s="125" t="s">
        <v>18</v>
      </c>
      <c r="B62" s="127">
        <v>1217</v>
      </c>
      <c r="C62" s="136">
        <f t="shared" si="0"/>
        <v>1.1698660950311933E-2</v>
      </c>
      <c r="E62" s="42" t="s">
        <v>26</v>
      </c>
      <c r="F62" s="6">
        <f>137+52+168+91</f>
        <v>448</v>
      </c>
      <c r="G62" s="5">
        <f>F62/F82</f>
        <v>9.2817038556363557E-3</v>
      </c>
    </row>
    <row r="63" spans="1:7" x14ac:dyDescent="0.25">
      <c r="A63" s="125" t="s">
        <v>24</v>
      </c>
      <c r="B63" s="127">
        <f>120+474+156+423</f>
        <v>1173</v>
      </c>
      <c r="C63" s="136">
        <f t="shared" si="0"/>
        <v>1.127570196772054E-2</v>
      </c>
      <c r="E63" s="42" t="s">
        <v>24</v>
      </c>
      <c r="F63" s="6">
        <f>20+110+55+248</f>
        <v>433</v>
      </c>
      <c r="G63" s="5">
        <f>F63/F82</f>
        <v>8.970932521184246E-3</v>
      </c>
    </row>
    <row r="64" spans="1:7" x14ac:dyDescent="0.25">
      <c r="A64" s="125" t="s">
        <v>16</v>
      </c>
      <c r="B64" s="127">
        <f>69+230+161+481</f>
        <v>941</v>
      </c>
      <c r="C64" s="136">
        <f t="shared" si="0"/>
        <v>9.0455546049659236E-3</v>
      </c>
      <c r="E64" s="42" t="s">
        <v>23</v>
      </c>
      <c r="F64" s="6">
        <f>40+235+39+37</f>
        <v>351</v>
      </c>
      <c r="G64" s="5">
        <f>F64/F82</f>
        <v>7.2720492261793774E-3</v>
      </c>
    </row>
    <row r="65" spans="1:7" x14ac:dyDescent="0.25">
      <c r="A65" s="125" t="s">
        <v>18</v>
      </c>
      <c r="B65" s="127">
        <v>847</v>
      </c>
      <c r="C65" s="136">
        <f t="shared" si="0"/>
        <v>8.1419604148843111E-3</v>
      </c>
      <c r="E65" s="42" t="s">
        <v>16</v>
      </c>
      <c r="F65" s="6">
        <f>198+69</f>
        <v>267</v>
      </c>
      <c r="G65" s="5">
        <f>F65/F82</f>
        <v>5.5317297532475607E-3</v>
      </c>
    </row>
    <row r="66" spans="1:7" x14ac:dyDescent="0.25">
      <c r="A66" s="125" t="s">
        <v>23</v>
      </c>
      <c r="B66" s="127">
        <f>456+38+113</f>
        <v>607</v>
      </c>
      <c r="C66" s="136">
        <f t="shared" si="0"/>
        <v>5.8349114189312594E-3</v>
      </c>
      <c r="E66" s="42" t="s">
        <v>108</v>
      </c>
      <c r="F66" s="6">
        <v>223</v>
      </c>
      <c r="G66" s="5">
        <f>F66/F82</f>
        <v>4.6201338388547038E-3</v>
      </c>
    </row>
    <row r="67" spans="1:7" x14ac:dyDescent="0.25">
      <c r="A67" s="125" t="s">
        <v>107</v>
      </c>
      <c r="B67" s="127">
        <v>492</v>
      </c>
      <c r="C67" s="136">
        <f t="shared" si="0"/>
        <v>4.7294504417037557E-3</v>
      </c>
      <c r="E67" s="42" t="s">
        <v>126</v>
      </c>
      <c r="F67" s="6">
        <v>174</v>
      </c>
      <c r="G67" s="5">
        <f>F67/F82</f>
        <v>3.6049474796444776E-3</v>
      </c>
    </row>
    <row r="68" spans="1:7" x14ac:dyDescent="0.25">
      <c r="A68" s="125" t="s">
        <v>103</v>
      </c>
      <c r="B68" s="127">
        <f>224+207</f>
        <v>431</v>
      </c>
      <c r="C68" s="136">
        <f t="shared" si="0"/>
        <v>4.1430754885656883E-3</v>
      </c>
      <c r="E68" s="42" t="s">
        <v>110</v>
      </c>
      <c r="F68" s="6">
        <f>65+39+57</f>
        <v>161</v>
      </c>
      <c r="G68" s="5">
        <f>F68/F82</f>
        <v>3.3356123231193155E-3</v>
      </c>
    </row>
    <row r="69" spans="1:7" x14ac:dyDescent="0.25">
      <c r="A69" s="125" t="s">
        <v>25</v>
      </c>
      <c r="B69" s="127">
        <v>354</v>
      </c>
      <c r="C69" s="136">
        <f t="shared" si="0"/>
        <v>3.402897269030751E-3</v>
      </c>
      <c r="E69" s="42" t="s">
        <v>28</v>
      </c>
      <c r="F69" s="6">
        <v>142</v>
      </c>
      <c r="G69" s="5">
        <f>F69/F82</f>
        <v>2.9419686328133092E-3</v>
      </c>
    </row>
    <row r="70" spans="1:7" x14ac:dyDescent="0.25">
      <c r="A70" s="125" t="s">
        <v>18</v>
      </c>
      <c r="B70" s="127">
        <v>339</v>
      </c>
      <c r="C70" s="136">
        <f t="shared" si="0"/>
        <v>3.2587067067836855E-3</v>
      </c>
      <c r="E70" s="42" t="s">
        <v>107</v>
      </c>
      <c r="F70" s="6">
        <v>101</v>
      </c>
      <c r="G70" s="5">
        <f>F70/F82</f>
        <v>2.0925269853108749E-3</v>
      </c>
    </row>
    <row r="71" spans="1:7" x14ac:dyDescent="0.25">
      <c r="A71" s="125" t="s">
        <v>32</v>
      </c>
      <c r="B71" s="127">
        <f>216+122</f>
        <v>338</v>
      </c>
      <c r="C71" s="136">
        <f t="shared" si="0"/>
        <v>3.2490940026338811E-3</v>
      </c>
      <c r="E71" s="42" t="s">
        <v>103</v>
      </c>
      <c r="F71" s="6">
        <v>82</v>
      </c>
      <c r="G71" s="5">
        <f>F71/F82</f>
        <v>1.6988832950048688E-3</v>
      </c>
    </row>
    <row r="72" spans="1:7" x14ac:dyDescent="0.25">
      <c r="A72" s="125" t="s">
        <v>108</v>
      </c>
      <c r="B72" s="127">
        <v>294</v>
      </c>
      <c r="C72" s="136">
        <f t="shared" si="0"/>
        <v>2.8261350200424881E-3</v>
      </c>
      <c r="E72" s="42" t="s">
        <v>123</v>
      </c>
      <c r="F72" s="6">
        <f>65+16</f>
        <v>81</v>
      </c>
      <c r="G72" s="5">
        <f>F72/F82</f>
        <v>1.6781652060413948E-3</v>
      </c>
    </row>
    <row r="73" spans="1:7" x14ac:dyDescent="0.25">
      <c r="A73" s="125" t="s">
        <v>109</v>
      </c>
      <c r="B73" s="127">
        <v>285</v>
      </c>
      <c r="C73" s="136">
        <f t="shared" si="0"/>
        <v>2.7396206826942487E-3</v>
      </c>
      <c r="E73" s="42" t="s">
        <v>86</v>
      </c>
      <c r="F73" s="6">
        <v>75</v>
      </c>
      <c r="G73" s="5">
        <f>F73/F82</f>
        <v>1.5538566722605508E-3</v>
      </c>
    </row>
    <row r="74" spans="1:7" x14ac:dyDescent="0.25">
      <c r="A74" s="125" t="s">
        <v>18</v>
      </c>
      <c r="B74" s="127">
        <v>219</v>
      </c>
      <c r="C74" s="136">
        <f t="shared" si="0"/>
        <v>2.1051822088071596E-3</v>
      </c>
      <c r="E74" s="42" t="s">
        <v>63</v>
      </c>
      <c r="F74" s="6">
        <f>27+12+34</f>
        <v>73</v>
      </c>
      <c r="G74" s="5">
        <f>F74/F82</f>
        <v>1.5124204943336027E-3</v>
      </c>
    </row>
    <row r="75" spans="1:7" x14ac:dyDescent="0.25">
      <c r="A75" s="125" t="s">
        <v>28</v>
      </c>
      <c r="B75" s="127">
        <v>198</v>
      </c>
      <c r="C75" s="136">
        <f t="shared" si="0"/>
        <v>1.9033154216612676E-3</v>
      </c>
      <c r="E75" s="42" t="s">
        <v>195</v>
      </c>
      <c r="F75" s="6">
        <v>68</v>
      </c>
      <c r="G75" s="5">
        <f>F75/F82</f>
        <v>1.4088300495162327E-3</v>
      </c>
    </row>
    <row r="76" spans="1:7" x14ac:dyDescent="0.25">
      <c r="A76" s="125" t="s">
        <v>18</v>
      </c>
      <c r="B76" s="127">
        <v>180</v>
      </c>
      <c r="C76" s="136">
        <f t="shared" si="0"/>
        <v>1.7302867469647886E-3</v>
      </c>
      <c r="E76" s="42" t="s">
        <v>254</v>
      </c>
      <c r="F76" s="6">
        <v>61</v>
      </c>
      <c r="G76" s="5">
        <f>F76/F82</f>
        <v>1.2638034267719147E-3</v>
      </c>
    </row>
    <row r="77" spans="1:7" x14ac:dyDescent="0.25">
      <c r="A77" s="125" t="s">
        <v>121</v>
      </c>
      <c r="B77" s="127">
        <v>162</v>
      </c>
      <c r="C77" s="136">
        <f t="shared" si="0"/>
        <v>1.5572580722683098E-3</v>
      </c>
      <c r="E77" s="42" t="s">
        <v>30</v>
      </c>
      <c r="F77" s="6">
        <v>56</v>
      </c>
      <c r="G77" s="5">
        <f>F77/F82</f>
        <v>1.1602129819545445E-3</v>
      </c>
    </row>
    <row r="78" spans="1:7" x14ac:dyDescent="0.25">
      <c r="A78" s="125" t="s">
        <v>29</v>
      </c>
      <c r="B78" s="127">
        <v>161</v>
      </c>
      <c r="C78" s="136">
        <f t="shared" si="0"/>
        <v>1.5476453681185054E-3</v>
      </c>
      <c r="E78" s="42" t="s">
        <v>29</v>
      </c>
      <c r="F78" s="6">
        <v>49</v>
      </c>
      <c r="G78" s="5">
        <f>F78/F82</f>
        <v>1.0151863592102264E-3</v>
      </c>
    </row>
    <row r="79" spans="1:7" x14ac:dyDescent="0.25">
      <c r="A79" s="125" t="s">
        <v>27</v>
      </c>
      <c r="B79" s="127">
        <v>143</v>
      </c>
      <c r="C79" s="136">
        <f t="shared" si="0"/>
        <v>1.3746166934220266E-3</v>
      </c>
      <c r="E79" s="42" t="s">
        <v>128</v>
      </c>
      <c r="F79" s="6">
        <v>41</v>
      </c>
      <c r="G79" s="5">
        <f>F79/F82</f>
        <v>8.4944164750243442E-4</v>
      </c>
    </row>
    <row r="80" spans="1:7" x14ac:dyDescent="0.25">
      <c r="A80" s="125" t="s">
        <v>122</v>
      </c>
      <c r="B80" s="127">
        <v>125</v>
      </c>
      <c r="C80" s="136">
        <f t="shared" si="0"/>
        <v>1.2015880187255478E-3</v>
      </c>
      <c r="E80" s="42" t="s">
        <v>130</v>
      </c>
      <c r="F80" s="6">
        <v>19</v>
      </c>
      <c r="G80" s="5">
        <f>F80/F82</f>
        <v>3.9364369030600615E-4</v>
      </c>
    </row>
    <row r="81" spans="1:7" x14ac:dyDescent="0.25">
      <c r="A81" s="125" t="s">
        <v>18</v>
      </c>
      <c r="B81" s="127">
        <v>121</v>
      </c>
      <c r="C81" s="136">
        <f t="shared" si="0"/>
        <v>1.1631372021263301E-3</v>
      </c>
      <c r="E81" s="13" t="s">
        <v>33</v>
      </c>
      <c r="F81" s="14">
        <f>51+30+606+160+105+94+664</f>
        <v>1710</v>
      </c>
      <c r="G81" s="15">
        <f>F81/F82</f>
        <v>3.5427932127540557E-2</v>
      </c>
    </row>
    <row r="82" spans="1:7" ht="15.75" thickBot="1" x14ac:dyDescent="0.3">
      <c r="A82" s="125" t="s">
        <v>30</v>
      </c>
      <c r="B82" s="127">
        <v>91</v>
      </c>
      <c r="C82" s="136">
        <f t="shared" si="0"/>
        <v>8.7475607763219871E-4</v>
      </c>
      <c r="E82" s="134" t="s">
        <v>5</v>
      </c>
      <c r="F82" s="133">
        <f>SUM(F54:F81)</f>
        <v>48267</v>
      </c>
      <c r="G82" s="45"/>
    </row>
    <row r="83" spans="1:7" x14ac:dyDescent="0.25">
      <c r="A83" s="125" t="s">
        <v>63</v>
      </c>
      <c r="B83" s="127">
        <v>78</v>
      </c>
      <c r="C83" s="136">
        <f t="shared" si="0"/>
        <v>7.4979092368474172E-4</v>
      </c>
    </row>
    <row r="84" spans="1:7" x14ac:dyDescent="0.25">
      <c r="A84" s="125" t="s">
        <v>86</v>
      </c>
      <c r="B84" s="127">
        <v>75</v>
      </c>
      <c r="C84" s="136">
        <f t="shared" si="0"/>
        <v>7.2095281123532866E-4</v>
      </c>
    </row>
    <row r="85" spans="1:7" x14ac:dyDescent="0.25">
      <c r="A85" s="125" t="s">
        <v>110</v>
      </c>
      <c r="B85" s="127">
        <v>41</v>
      </c>
      <c r="C85" s="136">
        <f t="shared" si="0"/>
        <v>3.9412087014197966E-4</v>
      </c>
    </row>
    <row r="86" spans="1:7" x14ac:dyDescent="0.25">
      <c r="A86" s="126" t="s">
        <v>33</v>
      </c>
      <c r="B86" s="102">
        <f>746+1136+1729+1110+268+195+813+390+1320+715</f>
        <v>8422</v>
      </c>
      <c r="C86" s="139">
        <f t="shared" si="0"/>
        <v>8.0958194349652499E-2</v>
      </c>
    </row>
    <row r="87" spans="1:7" ht="16.5" thickBot="1" x14ac:dyDescent="0.3">
      <c r="A87" s="132" t="s">
        <v>5</v>
      </c>
      <c r="B87" s="138">
        <f>SUM(B54:B86)</f>
        <v>104029</v>
      </c>
      <c r="C87" s="137"/>
    </row>
    <row r="89" spans="1:7" ht="15.75" x14ac:dyDescent="0.25">
      <c r="A89" s="109" t="s">
        <v>173</v>
      </c>
      <c r="B89" s="110"/>
      <c r="C89" s="110"/>
      <c r="D89" s="110"/>
    </row>
    <row r="90" spans="1:7" ht="44.25" customHeight="1" x14ac:dyDescent="0.25">
      <c r="A90" s="146" t="s">
        <v>174</v>
      </c>
      <c r="B90" s="146"/>
      <c r="C90" s="146"/>
      <c r="D90" s="146"/>
      <c r="E90" s="146"/>
      <c r="F90" s="146"/>
      <c r="G90" s="146"/>
    </row>
    <row r="91" spans="1:7" ht="25.5" customHeight="1" x14ac:dyDescent="0.25">
      <c r="A91" s="111" t="s">
        <v>175</v>
      </c>
      <c r="B91" s="111"/>
      <c r="C91" s="111"/>
      <c r="D91" s="111"/>
      <c r="E91" s="111"/>
      <c r="F91" s="110"/>
      <c r="G91" s="110"/>
    </row>
    <row r="92" spans="1:7" ht="27" customHeight="1" x14ac:dyDescent="0.25">
      <c r="A92" s="124" t="s">
        <v>183</v>
      </c>
      <c r="B92" s="111"/>
      <c r="C92" s="111"/>
      <c r="D92" s="111"/>
      <c r="E92" s="111"/>
      <c r="F92" s="110"/>
      <c r="G92" s="110"/>
    </row>
    <row r="93" spans="1:7" ht="40.5" customHeight="1" x14ac:dyDescent="0.25">
      <c r="A93" s="146" t="s">
        <v>176</v>
      </c>
      <c r="B93" s="146"/>
      <c r="C93" s="146"/>
      <c r="D93" s="146"/>
      <c r="E93" s="146"/>
      <c r="F93" s="146"/>
      <c r="G93" s="146"/>
    </row>
    <row r="94" spans="1:7" ht="24" customHeight="1" x14ac:dyDescent="0.25">
      <c r="A94" s="147" t="s">
        <v>185</v>
      </c>
      <c r="B94" s="148"/>
      <c r="C94" s="148"/>
      <c r="D94" s="148"/>
      <c r="E94" s="148"/>
      <c r="F94" s="148"/>
      <c r="G94" s="148"/>
    </row>
    <row r="95" spans="1:7" ht="27.75" customHeight="1" x14ac:dyDescent="0.25">
      <c r="A95" s="147" t="s">
        <v>187</v>
      </c>
      <c r="B95" s="148"/>
      <c r="C95" s="148"/>
      <c r="D95" s="148"/>
      <c r="E95" s="148"/>
      <c r="F95" s="148"/>
      <c r="G95" s="148"/>
    </row>
    <row r="96" spans="1:7" ht="26.25" customHeight="1" x14ac:dyDescent="0.25">
      <c r="A96" s="149" t="s">
        <v>186</v>
      </c>
      <c r="B96" s="150"/>
      <c r="C96" s="150"/>
      <c r="D96" s="150"/>
      <c r="E96" s="150"/>
      <c r="F96" s="150"/>
      <c r="G96" s="150"/>
    </row>
    <row r="97" spans="1:7" ht="34.5" customHeight="1" x14ac:dyDescent="0.25">
      <c r="B97" s="110"/>
      <c r="C97" s="110"/>
      <c r="D97" s="110"/>
      <c r="E97" s="110"/>
      <c r="F97" s="110"/>
      <c r="G97" s="110"/>
    </row>
    <row r="98" spans="1:7" ht="34.5" customHeight="1" x14ac:dyDescent="0.25">
      <c r="A98" s="110"/>
      <c r="B98" s="110"/>
      <c r="C98" s="110"/>
      <c r="D98" s="110"/>
      <c r="E98" s="110"/>
      <c r="F98" s="110"/>
      <c r="G98" s="110"/>
    </row>
    <row r="99" spans="1:7" ht="21.75" customHeight="1" x14ac:dyDescent="0.25">
      <c r="A99" s="110"/>
      <c r="B99" s="110"/>
      <c r="C99" s="110"/>
      <c r="D99" s="110"/>
      <c r="E99" s="110"/>
      <c r="F99" s="110"/>
      <c r="G99" s="110"/>
    </row>
    <row r="100" spans="1:7" ht="33.75" customHeight="1" x14ac:dyDescent="0.25">
      <c r="A100" s="110" t="s">
        <v>177</v>
      </c>
      <c r="B100" s="110"/>
      <c r="C100" s="110"/>
      <c r="D100" s="110"/>
      <c r="E100" s="110"/>
      <c r="F100" s="110"/>
      <c r="G100" s="110"/>
    </row>
    <row r="101" spans="1:7" ht="21" customHeight="1" x14ac:dyDescent="0.25">
      <c r="A101" s="110"/>
      <c r="B101" s="110"/>
      <c r="C101" s="110"/>
      <c r="D101" s="110"/>
      <c r="E101" s="110"/>
      <c r="F101" s="110"/>
      <c r="G101" s="110"/>
    </row>
    <row r="102" spans="1:7" ht="21" customHeight="1" x14ac:dyDescent="0.25">
      <c r="A102" s="112"/>
      <c r="B102" s="112"/>
      <c r="C102" s="112"/>
      <c r="D102" s="112"/>
      <c r="E102" s="112"/>
      <c r="F102" s="112"/>
      <c r="G102" s="112"/>
    </row>
    <row r="103" spans="1:7" ht="15.75" x14ac:dyDescent="0.25">
      <c r="B103" s="110"/>
      <c r="C103" s="110"/>
      <c r="D103" s="110"/>
      <c r="E103" s="110"/>
      <c r="F103" s="110"/>
      <c r="G103" s="110"/>
    </row>
    <row r="104" spans="1:7" ht="35.25" customHeight="1" x14ac:dyDescent="0.25"/>
    <row r="113" ht="48" customHeight="1" x14ac:dyDescent="0.25"/>
    <row r="115" ht="52.5" customHeight="1" x14ac:dyDescent="0.25"/>
    <row r="122" ht="36.75" customHeight="1" x14ac:dyDescent="0.25"/>
    <row r="124" ht="42" customHeight="1" x14ac:dyDescent="0.25"/>
    <row r="125" ht="50.25" customHeight="1" x14ac:dyDescent="0.25"/>
    <row r="136" ht="20.100000000000001" customHeight="1" x14ac:dyDescent="0.25"/>
  </sheetData>
  <mergeCells count="18">
    <mergeCell ref="A52:C52"/>
    <mergeCell ref="E52:G52"/>
    <mergeCell ref="A1:G1"/>
    <mergeCell ref="A3:C3"/>
    <mergeCell ref="A9:G9"/>
    <mergeCell ref="A11:C11"/>
    <mergeCell ref="A22:G22"/>
    <mergeCell ref="A24:C24"/>
    <mergeCell ref="A35:G35"/>
    <mergeCell ref="A37:C37"/>
    <mergeCell ref="A43:G43"/>
    <mergeCell ref="A45:C45"/>
    <mergeCell ref="A51:G51"/>
    <mergeCell ref="A90:G90"/>
    <mergeCell ref="A93:G93"/>
    <mergeCell ref="A94:G94"/>
    <mergeCell ref="A95:G95"/>
    <mergeCell ref="A96:G96"/>
  </mergeCells>
  <phoneticPr fontId="19" type="noConversion"/>
  <pageMargins left="0.25" right="0.25" top="0.25" bottom="0.25" header="0.3" footer="0.3"/>
  <pageSetup scale="82" fitToHeight="0"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59"/>
  <sheetViews>
    <sheetView tabSelected="1" workbookViewId="0">
      <selection activeCell="B7" sqref="B7"/>
    </sheetView>
  </sheetViews>
  <sheetFormatPr defaultColWidth="9.140625" defaultRowHeight="15" x14ac:dyDescent="0.25"/>
  <cols>
    <col min="1" max="1" width="33.85546875" style="40" customWidth="1"/>
    <col min="2" max="2" width="19.140625" style="40" customWidth="1"/>
    <col min="3" max="3" width="12.42578125" style="40" customWidth="1"/>
    <col min="4" max="4" width="9.140625" style="40"/>
    <col min="5" max="5" width="39" style="40" customWidth="1"/>
    <col min="6" max="6" width="18.42578125" style="40" bestFit="1" customWidth="1"/>
    <col min="7" max="7" width="10" style="40" bestFit="1" customWidth="1"/>
    <col min="8" max="8" width="9.140625" style="40"/>
    <col min="9" max="9" width="26.7109375" style="40" bestFit="1" customWidth="1"/>
    <col min="10" max="16384" width="9.140625" style="40"/>
  </cols>
  <sheetData>
    <row r="1" spans="1:11" ht="25.5" customHeight="1" x14ac:dyDescent="0.35">
      <c r="A1" s="171" t="s">
        <v>165</v>
      </c>
      <c r="B1" s="171"/>
      <c r="C1" s="171"/>
      <c r="D1" s="171"/>
      <c r="E1" s="171"/>
      <c r="F1" s="171"/>
    </row>
    <row r="2" spans="1:11" ht="18.75" x14ac:dyDescent="0.3">
      <c r="A2" s="172" t="s">
        <v>135</v>
      </c>
      <c r="B2" s="172"/>
      <c r="C2" s="172"/>
      <c r="D2" s="69"/>
      <c r="E2" s="173" t="s">
        <v>163</v>
      </c>
      <c r="F2" s="173"/>
      <c r="G2" s="173"/>
    </row>
    <row r="3" spans="1:11" ht="46.5" customHeight="1" x14ac:dyDescent="0.25">
      <c r="A3" s="174" t="s">
        <v>136</v>
      </c>
      <c r="B3" s="174"/>
      <c r="C3" s="174"/>
      <c r="D3" s="69"/>
      <c r="E3" s="175" t="s">
        <v>138</v>
      </c>
      <c r="F3" s="175"/>
      <c r="G3" s="175"/>
    </row>
    <row r="4" spans="1:11" ht="66.75" customHeight="1" thickBot="1" x14ac:dyDescent="0.3">
      <c r="E4" s="170" t="s">
        <v>139</v>
      </c>
      <c r="F4" s="170"/>
      <c r="G4" s="170"/>
    </row>
    <row r="5" spans="1:11" ht="18" thickBot="1" x14ac:dyDescent="0.35">
      <c r="A5" s="158" t="s">
        <v>34</v>
      </c>
      <c r="B5" s="159"/>
      <c r="C5" s="160"/>
      <c r="E5" s="158" t="s">
        <v>132</v>
      </c>
      <c r="F5" s="159"/>
      <c r="G5" s="160"/>
      <c r="I5" s="176"/>
      <c r="J5" s="176"/>
      <c r="K5" s="49"/>
    </row>
    <row r="6" spans="1:11" x14ac:dyDescent="0.25">
      <c r="A6" s="12" t="s">
        <v>0</v>
      </c>
      <c r="B6" s="4" t="s">
        <v>1</v>
      </c>
      <c r="C6" s="11" t="s">
        <v>2</v>
      </c>
      <c r="E6" s="12" t="s">
        <v>54</v>
      </c>
      <c r="F6" s="128" t="s">
        <v>1</v>
      </c>
      <c r="G6" s="11" t="s">
        <v>2</v>
      </c>
      <c r="I6" s="49"/>
      <c r="J6" s="49"/>
      <c r="K6" s="49"/>
    </row>
    <row r="7" spans="1:11" x14ac:dyDescent="0.25">
      <c r="A7" s="42" t="s">
        <v>3</v>
      </c>
      <c r="B7" s="6">
        <f>SUM('1:10'!B7)</f>
        <v>1074195</v>
      </c>
      <c r="C7" s="5">
        <f>B7/$B$9</f>
        <v>0.91156767967522179</v>
      </c>
      <c r="E7" s="125" t="s">
        <v>55</v>
      </c>
      <c r="F7" s="127">
        <f>SUM('1:10'!F7)</f>
        <v>447368</v>
      </c>
      <c r="G7" s="81">
        <f>F7/$F$9</f>
        <v>0.94168859325994059</v>
      </c>
      <c r="I7" s="49"/>
      <c r="J7" s="49"/>
      <c r="K7" s="49"/>
    </row>
    <row r="8" spans="1:11" x14ac:dyDescent="0.25">
      <c r="A8" s="13" t="s">
        <v>167</v>
      </c>
      <c r="B8" s="102">
        <f>SUM('1:10'!B8)</f>
        <v>104209</v>
      </c>
      <c r="C8" s="15">
        <f>B8/$B$9</f>
        <v>8.8432320324778255E-2</v>
      </c>
      <c r="E8" s="126" t="s">
        <v>58</v>
      </c>
      <c r="F8" s="102">
        <f>SUM('1:10'!F8)</f>
        <v>27702</v>
      </c>
      <c r="G8" s="15">
        <f>F8/$F$9</f>
        <v>5.8311406740059357E-2</v>
      </c>
      <c r="I8" s="49"/>
      <c r="J8" s="49"/>
      <c r="K8" s="49"/>
    </row>
    <row r="9" spans="1:11" ht="15.75" thickBot="1" x14ac:dyDescent="0.3">
      <c r="A9" s="43" t="s">
        <v>5</v>
      </c>
      <c r="B9" s="3">
        <f>SUM(B7:B8)</f>
        <v>1178404</v>
      </c>
      <c r="C9" s="2"/>
      <c r="E9" s="43" t="s">
        <v>5</v>
      </c>
      <c r="F9" s="3">
        <f>SUM(F7:F8)</f>
        <v>475070</v>
      </c>
      <c r="G9" s="2"/>
      <c r="I9" s="49"/>
      <c r="J9" s="49"/>
      <c r="K9" s="49"/>
    </row>
    <row r="10" spans="1:11" x14ac:dyDescent="0.25">
      <c r="A10" s="40" t="s">
        <v>161</v>
      </c>
      <c r="E10" s="40" t="s">
        <v>148</v>
      </c>
      <c r="I10" s="49"/>
      <c r="J10" s="49"/>
      <c r="K10" s="49"/>
    </row>
    <row r="11" spans="1:11" ht="15.75" thickBot="1" x14ac:dyDescent="0.3">
      <c r="I11" s="49"/>
      <c r="J11" s="49"/>
      <c r="K11" s="49"/>
    </row>
    <row r="12" spans="1:11" ht="18" thickBot="1" x14ac:dyDescent="0.35">
      <c r="A12" s="158" t="s">
        <v>35</v>
      </c>
      <c r="B12" s="159"/>
      <c r="C12" s="160"/>
      <c r="E12" s="154" t="s">
        <v>56</v>
      </c>
      <c r="F12" s="155"/>
      <c r="G12" s="156"/>
      <c r="I12" s="49"/>
      <c r="J12" s="49"/>
      <c r="K12" s="49"/>
    </row>
    <row r="13" spans="1:11" x14ac:dyDescent="0.25">
      <c r="A13" s="12" t="s">
        <v>6</v>
      </c>
      <c r="B13" s="4" t="s">
        <v>7</v>
      </c>
      <c r="C13" s="11" t="s">
        <v>2</v>
      </c>
      <c r="E13" s="12" t="s">
        <v>6</v>
      </c>
      <c r="F13" s="4" t="s">
        <v>7</v>
      </c>
      <c r="G13" s="11" t="s">
        <v>2</v>
      </c>
      <c r="I13" s="49"/>
      <c r="J13" s="49"/>
      <c r="K13" s="49"/>
    </row>
    <row r="14" spans="1:11" ht="15" customHeight="1" x14ac:dyDescent="0.25">
      <c r="A14" s="42" t="s">
        <v>36</v>
      </c>
      <c r="B14" s="6">
        <f>SUM('1:10'!B14)</f>
        <v>104296</v>
      </c>
      <c r="C14" s="5">
        <f>B14/$B$21</f>
        <v>8.8506148994742045E-2</v>
      </c>
      <c r="E14" s="42" t="s">
        <v>36</v>
      </c>
      <c r="F14" s="6">
        <f>SUM('1:10'!F14)</f>
        <v>22542</v>
      </c>
      <c r="G14" s="5">
        <f t="shared" ref="G14:G19" si="0">F14/$F$20</f>
        <v>7.0480532027651935E-2</v>
      </c>
      <c r="I14" s="49"/>
      <c r="J14" s="49"/>
      <c r="K14" s="49"/>
    </row>
    <row r="15" spans="1:11" x14ac:dyDescent="0.25">
      <c r="A15" s="42" t="s">
        <v>37</v>
      </c>
      <c r="B15" s="6">
        <f>SUM('1:10'!B15)</f>
        <v>136192</v>
      </c>
      <c r="C15" s="5">
        <f t="shared" ref="C15:C20" si="1">B15/$B$21</f>
        <v>0.11557326689318774</v>
      </c>
      <c r="E15" s="42" t="s">
        <v>37</v>
      </c>
      <c r="F15" s="6">
        <f>SUM('1:10'!F15)</f>
        <v>32126</v>
      </c>
      <c r="G15" s="5">
        <f t="shared" si="0"/>
        <v>0.10044617034514887</v>
      </c>
      <c r="I15" s="49"/>
      <c r="J15" s="49"/>
      <c r="K15" s="49"/>
    </row>
    <row r="16" spans="1:11" x14ac:dyDescent="0.25">
      <c r="A16" s="42" t="s">
        <v>38</v>
      </c>
      <c r="B16" s="6">
        <f>SUM('1:10'!B16)</f>
        <v>146877</v>
      </c>
      <c r="C16" s="5">
        <f t="shared" si="1"/>
        <v>0.12464061561230275</v>
      </c>
      <c r="E16" s="42" t="s">
        <v>38</v>
      </c>
      <c r="F16" s="6">
        <f>SUM('1:10'!F16)</f>
        <v>37742</v>
      </c>
      <c r="G16" s="5">
        <f t="shared" si="0"/>
        <v>0.11800533403369884</v>
      </c>
      <c r="I16" s="49"/>
      <c r="J16" s="49"/>
      <c r="K16" s="49"/>
    </row>
    <row r="17" spans="1:11" x14ac:dyDescent="0.25">
      <c r="A17" s="42" t="s">
        <v>39</v>
      </c>
      <c r="B17" s="6">
        <f>SUM('1:10'!B17)</f>
        <v>155961</v>
      </c>
      <c r="C17" s="5">
        <f t="shared" si="1"/>
        <v>0.1323493470830038</v>
      </c>
      <c r="E17" s="42" t="s">
        <v>39</v>
      </c>
      <c r="F17" s="6">
        <f>SUM('1:10'!F17)</f>
        <v>40847</v>
      </c>
      <c r="G17" s="5">
        <f t="shared" si="0"/>
        <v>0.12771352549611828</v>
      </c>
      <c r="I17" s="49"/>
      <c r="J17" s="49"/>
      <c r="K17" s="49"/>
    </row>
    <row r="18" spans="1:11" x14ac:dyDescent="0.25">
      <c r="A18" s="42" t="s">
        <v>40</v>
      </c>
      <c r="B18" s="6">
        <f>SUM('1:10'!B18)</f>
        <v>142792</v>
      </c>
      <c r="C18" s="5">
        <f t="shared" si="1"/>
        <v>0.12117406254561254</v>
      </c>
      <c r="E18" s="42" t="s">
        <v>40</v>
      </c>
      <c r="F18" s="6">
        <f>SUM('1:10'!F18)</f>
        <v>39454</v>
      </c>
      <c r="G18" s="5">
        <f t="shared" si="0"/>
        <v>0.12335812752280097</v>
      </c>
      <c r="I18" s="49"/>
      <c r="J18" s="49"/>
      <c r="K18" s="49"/>
    </row>
    <row r="19" spans="1:11" ht="18" customHeight="1" x14ac:dyDescent="0.25">
      <c r="A19" s="42" t="s">
        <v>8</v>
      </c>
      <c r="B19" s="6">
        <f>SUM('1:10'!B19)</f>
        <v>469237</v>
      </c>
      <c r="C19" s="5">
        <f t="shared" si="1"/>
        <v>0.39819705296316033</v>
      </c>
      <c r="E19" s="13" t="s">
        <v>8</v>
      </c>
      <c r="F19" s="102">
        <f>SUM('1:10'!F19)</f>
        <v>147122</v>
      </c>
      <c r="G19" s="15">
        <f t="shared" si="0"/>
        <v>0.45999631057458112</v>
      </c>
      <c r="I19" s="49"/>
      <c r="J19" s="49"/>
      <c r="K19" s="49"/>
    </row>
    <row r="20" spans="1:11" ht="15" customHeight="1" thickBot="1" x14ac:dyDescent="0.3">
      <c r="A20" s="13" t="s">
        <v>9</v>
      </c>
      <c r="B20" s="102">
        <f>SUM('1:10'!B20)</f>
        <v>23049</v>
      </c>
      <c r="C20" s="15">
        <f t="shared" si="1"/>
        <v>1.9559505907990809E-2</v>
      </c>
      <c r="E20" s="82" t="s">
        <v>5</v>
      </c>
      <c r="F20" s="3">
        <f>SUM(F14:F19)</f>
        <v>319833</v>
      </c>
      <c r="G20" s="83"/>
      <c r="I20" s="49"/>
      <c r="J20" s="49"/>
      <c r="K20" s="49"/>
    </row>
    <row r="21" spans="1:11" ht="48.75" customHeight="1" thickBot="1" x14ac:dyDescent="0.3">
      <c r="A21" s="43" t="s">
        <v>5</v>
      </c>
      <c r="B21" s="3">
        <f>SUM(B14:B20)</f>
        <v>1178404</v>
      </c>
      <c r="C21" s="2"/>
      <c r="E21" s="177" t="s">
        <v>140</v>
      </c>
      <c r="F21" s="178"/>
      <c r="G21" s="179"/>
      <c r="I21" s="49"/>
      <c r="J21" s="49"/>
      <c r="K21" s="49"/>
    </row>
    <row r="22" spans="1:11" x14ac:dyDescent="0.25">
      <c r="A22" s="40" t="s">
        <v>161</v>
      </c>
      <c r="I22" s="49"/>
      <c r="J22" s="49"/>
      <c r="K22" s="49"/>
    </row>
    <row r="23" spans="1:11" ht="15.75" thickBot="1" x14ac:dyDescent="0.3">
      <c r="I23" s="49"/>
      <c r="J23" s="49"/>
      <c r="K23" s="49"/>
    </row>
    <row r="24" spans="1:11" ht="35.25" customHeight="1" thickBot="1" x14ac:dyDescent="0.35">
      <c r="A24" s="158" t="s">
        <v>10</v>
      </c>
      <c r="B24" s="159"/>
      <c r="C24" s="160"/>
      <c r="E24" s="154" t="s">
        <v>57</v>
      </c>
      <c r="F24" s="155"/>
      <c r="G24" s="156"/>
      <c r="I24" s="49"/>
      <c r="J24" s="49"/>
      <c r="K24" s="49"/>
    </row>
    <row r="25" spans="1:11" x14ac:dyDescent="0.25">
      <c r="A25" s="12" t="s">
        <v>6</v>
      </c>
      <c r="B25" s="4" t="s">
        <v>7</v>
      </c>
      <c r="C25" s="11" t="s">
        <v>2</v>
      </c>
      <c r="E25" s="12" t="s">
        <v>6</v>
      </c>
      <c r="F25" s="4" t="s">
        <v>7</v>
      </c>
      <c r="G25" s="11" t="s">
        <v>2</v>
      </c>
      <c r="I25" s="49"/>
      <c r="J25" s="49"/>
      <c r="K25" s="49"/>
    </row>
    <row r="26" spans="1:11" ht="14.45" customHeight="1" x14ac:dyDescent="0.25">
      <c r="A26" s="42" t="s">
        <v>36</v>
      </c>
      <c r="B26" s="6">
        <f>SUM('1:10'!B26)</f>
        <v>22782</v>
      </c>
      <c r="C26" s="5">
        <f>B26/$B$33</f>
        <v>0.21861835350113715</v>
      </c>
      <c r="E26" s="42" t="s">
        <v>36</v>
      </c>
      <c r="F26" s="6">
        <f>SUM('1:10'!F26)</f>
        <v>4733</v>
      </c>
      <c r="G26" s="5">
        <f t="shared" ref="G26:G31" si="2">F26/$F$32</f>
        <v>0.15908174240387202</v>
      </c>
      <c r="I26" s="49"/>
      <c r="J26" s="49"/>
      <c r="K26" s="49"/>
    </row>
    <row r="27" spans="1:11" ht="15" customHeight="1" x14ac:dyDescent="0.25">
      <c r="A27" s="42" t="s">
        <v>37</v>
      </c>
      <c r="B27" s="6">
        <f>SUM('1:10'!B27)</f>
        <v>25485</v>
      </c>
      <c r="C27" s="5">
        <f t="shared" ref="C27:C32" si="3">B27/$B$33</f>
        <v>0.24455661219280483</v>
      </c>
      <c r="E27" s="42" t="s">
        <v>37</v>
      </c>
      <c r="F27" s="6">
        <f>SUM('1:10'!F27)</f>
        <v>2888</v>
      </c>
      <c r="G27" s="5">
        <f t="shared" si="2"/>
        <v>9.7069104598010214E-2</v>
      </c>
      <c r="I27" s="49"/>
      <c r="J27" s="49"/>
      <c r="K27" s="49"/>
    </row>
    <row r="28" spans="1:11" ht="14.45" customHeight="1" x14ac:dyDescent="0.25">
      <c r="A28" s="42" t="s">
        <v>38</v>
      </c>
      <c r="B28" s="6">
        <f>SUM('1:10'!B28)</f>
        <v>18440</v>
      </c>
      <c r="C28" s="5">
        <f t="shared" si="3"/>
        <v>0.17695208667197651</v>
      </c>
      <c r="E28" s="42" t="s">
        <v>38</v>
      </c>
      <c r="F28" s="6">
        <f>SUM('1:10'!F28)</f>
        <v>2213</v>
      </c>
      <c r="G28" s="5">
        <f t="shared" si="2"/>
        <v>7.4381554181231518E-2</v>
      </c>
      <c r="I28" s="49"/>
      <c r="J28" s="49"/>
      <c r="K28" s="49"/>
    </row>
    <row r="29" spans="1:11" x14ac:dyDescent="0.25">
      <c r="A29" s="42" t="s">
        <v>39</v>
      </c>
      <c r="B29" s="6">
        <f>SUM('1:10'!B29)</f>
        <v>14279</v>
      </c>
      <c r="C29" s="5">
        <f t="shared" si="3"/>
        <v>0.13702271396904298</v>
      </c>
      <c r="E29" s="42" t="s">
        <v>39</v>
      </c>
      <c r="F29" s="6">
        <f>SUM('1:10'!F29)</f>
        <v>1150</v>
      </c>
      <c r="G29" s="5">
        <f t="shared" si="2"/>
        <v>3.8652863673030384E-2</v>
      </c>
      <c r="I29" s="49"/>
      <c r="J29" s="49"/>
      <c r="K29" s="49"/>
    </row>
    <row r="30" spans="1:11" x14ac:dyDescent="0.25">
      <c r="A30" s="42" t="s">
        <v>40</v>
      </c>
      <c r="B30" s="6">
        <f>SUM('1:10'!B30)</f>
        <v>8585</v>
      </c>
      <c r="C30" s="5">
        <f t="shared" si="3"/>
        <v>8.2382519743976049E-2</v>
      </c>
      <c r="E30" s="42" t="s">
        <v>40</v>
      </c>
      <c r="F30" s="6">
        <f>SUM('1:10'!F30)</f>
        <v>1727</v>
      </c>
      <c r="G30" s="5">
        <f t="shared" si="2"/>
        <v>5.8046517881150846E-2</v>
      </c>
      <c r="I30" s="49"/>
      <c r="J30" s="49"/>
      <c r="K30" s="49"/>
    </row>
    <row r="31" spans="1:11" x14ac:dyDescent="0.25">
      <c r="A31" s="42" t="s">
        <v>8</v>
      </c>
      <c r="B31" s="6">
        <f>SUM('1:10'!B31)</f>
        <v>13136</v>
      </c>
      <c r="C31" s="5">
        <f t="shared" si="3"/>
        <v>0.126054371503421</v>
      </c>
      <c r="E31" s="13" t="s">
        <v>8</v>
      </c>
      <c r="F31" s="6">
        <f>SUM('1:10'!F31)</f>
        <v>17041</v>
      </c>
      <c r="G31" s="15">
        <f t="shared" si="2"/>
        <v>0.57276821726270499</v>
      </c>
      <c r="I31" s="49"/>
      <c r="J31" s="49"/>
      <c r="K31" s="49"/>
    </row>
    <row r="32" spans="1:11" ht="15.75" thickBot="1" x14ac:dyDescent="0.3">
      <c r="A32" s="13" t="s">
        <v>9</v>
      </c>
      <c r="B32" s="6">
        <f>SUM('1:10'!B32)</f>
        <v>1502</v>
      </c>
      <c r="C32" s="15">
        <f t="shared" si="3"/>
        <v>1.4413342417641471E-2</v>
      </c>
      <c r="E32" s="70" t="s">
        <v>5</v>
      </c>
      <c r="F32" s="84">
        <f>SUM(F26:F31)</f>
        <v>29752</v>
      </c>
      <c r="G32" s="2"/>
      <c r="I32" s="49"/>
      <c r="J32" s="49"/>
      <c r="K32" s="49"/>
    </row>
    <row r="33" spans="1:7" ht="15.75" thickBot="1" x14ac:dyDescent="0.3">
      <c r="A33" s="43" t="s">
        <v>5</v>
      </c>
      <c r="B33" s="84">
        <f>SUM(B26:B32)</f>
        <v>104209</v>
      </c>
      <c r="C33" s="2"/>
    </row>
    <row r="34" spans="1:7" ht="37.5" customHeight="1" thickBot="1" x14ac:dyDescent="0.35">
      <c r="A34" s="49"/>
      <c r="B34" s="6"/>
      <c r="C34" s="49"/>
      <c r="E34" s="154" t="s">
        <v>59</v>
      </c>
      <c r="F34" s="155"/>
      <c r="G34" s="156"/>
    </row>
    <row r="35" spans="1:7" ht="18" thickBot="1" x14ac:dyDescent="0.35">
      <c r="A35" s="154" t="s">
        <v>158</v>
      </c>
      <c r="B35" s="155"/>
      <c r="C35" s="156"/>
      <c r="E35" s="12" t="s">
        <v>6</v>
      </c>
      <c r="F35" s="4" t="s">
        <v>7</v>
      </c>
      <c r="G35" s="11" t="s">
        <v>2</v>
      </c>
    </row>
    <row r="36" spans="1:7" x14ac:dyDescent="0.25">
      <c r="A36" s="12" t="s">
        <v>0</v>
      </c>
      <c r="B36" s="4" t="s">
        <v>1</v>
      </c>
      <c r="C36" s="11" t="s">
        <v>2</v>
      </c>
      <c r="E36" s="42" t="s">
        <v>36</v>
      </c>
      <c r="F36" s="6">
        <f>F26</f>
        <v>4733</v>
      </c>
      <c r="G36" s="5">
        <f>F36/$F$38</f>
        <v>0.6210471066789135</v>
      </c>
    </row>
    <row r="37" spans="1:7" x14ac:dyDescent="0.25">
      <c r="A37" s="42" t="s">
        <v>3</v>
      </c>
      <c r="B37" s="6">
        <f>SUM('1:10'!B37)</f>
        <v>81514</v>
      </c>
      <c r="C37" s="5">
        <f>B37/B39</f>
        <v>0.78156401012502874</v>
      </c>
      <c r="E37" s="13" t="s">
        <v>37</v>
      </c>
      <c r="F37" s="14">
        <f>F27</f>
        <v>2888</v>
      </c>
      <c r="G37" s="15">
        <f>F37/$F$38</f>
        <v>0.37895289332108645</v>
      </c>
    </row>
    <row r="38" spans="1:7" ht="15.75" thickBot="1" x14ac:dyDescent="0.3">
      <c r="A38" s="13" t="s">
        <v>167</v>
      </c>
      <c r="B38" s="6">
        <f>SUM('1:10'!B38)</f>
        <v>22782</v>
      </c>
      <c r="C38" s="15">
        <f>B38/B39</f>
        <v>0.21843598987497123</v>
      </c>
      <c r="E38" s="43" t="s">
        <v>5</v>
      </c>
      <c r="F38" s="3">
        <f>SUM(F36:F37)</f>
        <v>7621</v>
      </c>
      <c r="G38" s="2"/>
    </row>
    <row r="39" spans="1:7" ht="15.75" thickBot="1" x14ac:dyDescent="0.3">
      <c r="A39" s="43" t="s">
        <v>5</v>
      </c>
      <c r="B39" s="84">
        <f>SUM(B37:B38)</f>
        <v>104296</v>
      </c>
      <c r="C39" s="48"/>
    </row>
    <row r="40" spans="1:7" ht="18" thickBot="1" x14ac:dyDescent="0.35">
      <c r="A40" s="49"/>
      <c r="B40" s="6"/>
      <c r="C40" s="49"/>
      <c r="E40" s="167" t="s">
        <v>60</v>
      </c>
      <c r="F40" s="168"/>
      <c r="G40" s="169"/>
    </row>
    <row r="41" spans="1:7" ht="36.75" customHeight="1" thickBot="1" x14ac:dyDescent="0.35">
      <c r="A41" s="154" t="s">
        <v>154</v>
      </c>
      <c r="B41" s="155"/>
      <c r="C41" s="156"/>
      <c r="E41" s="143" t="s">
        <v>12</v>
      </c>
      <c r="F41" s="144" t="s">
        <v>1</v>
      </c>
      <c r="G41" s="131" t="s">
        <v>2</v>
      </c>
    </row>
    <row r="42" spans="1:7" x14ac:dyDescent="0.25">
      <c r="A42" s="12" t="s">
        <v>0</v>
      </c>
      <c r="B42" s="4" t="s">
        <v>1</v>
      </c>
      <c r="C42" s="11" t="s">
        <v>2</v>
      </c>
      <c r="E42" s="125" t="s">
        <v>13</v>
      </c>
      <c r="F42" s="127">
        <f>249+65+977+5618+471+25+164+515+1713</f>
        <v>9797</v>
      </c>
      <c r="G42" s="88">
        <f>F42/$F$75</f>
        <v>0.57490757584648788</v>
      </c>
    </row>
    <row r="43" spans="1:7" x14ac:dyDescent="0.25">
      <c r="A43" s="42" t="s">
        <v>3</v>
      </c>
      <c r="B43" s="6">
        <f>SUM('1:10'!B43)</f>
        <v>110707</v>
      </c>
      <c r="C43" s="5">
        <f>B43/B45</f>
        <v>0.81287447133458646</v>
      </c>
      <c r="E43" s="125" t="s">
        <v>14</v>
      </c>
      <c r="F43" s="127">
        <f>509+69+579+82+11+160+308+68+90+19</f>
        <v>1895</v>
      </c>
      <c r="G43" s="88">
        <f t="shared" ref="G43:G74" si="4">F43/$F$75</f>
        <v>0.11120239422569098</v>
      </c>
    </row>
    <row r="44" spans="1:7" x14ac:dyDescent="0.25">
      <c r="A44" s="13" t="s">
        <v>167</v>
      </c>
      <c r="B44" s="6">
        <f>SUM('1:10'!B44)</f>
        <v>25485</v>
      </c>
      <c r="C44" s="15">
        <f>B44/B45</f>
        <v>0.18712552866541354</v>
      </c>
      <c r="E44" s="125" t="s">
        <v>133</v>
      </c>
      <c r="F44" s="127">
        <f>484+38+17+11+264</f>
        <v>814</v>
      </c>
      <c r="G44" s="88">
        <f t="shared" si="4"/>
        <v>4.7767149815151691E-2</v>
      </c>
    </row>
    <row r="45" spans="1:7" ht="15.75" thickBot="1" x14ac:dyDescent="0.3">
      <c r="A45" s="43" t="s">
        <v>5</v>
      </c>
      <c r="B45" s="84">
        <f>SUM(B43:B44)</f>
        <v>136192</v>
      </c>
      <c r="C45" s="2"/>
      <c r="E45" s="125" t="s">
        <v>18</v>
      </c>
      <c r="F45" s="127">
        <f>93+124+91+41+156+299</f>
        <v>804</v>
      </c>
      <c r="G45" s="88">
        <f t="shared" si="4"/>
        <v>4.7180329792852534E-2</v>
      </c>
    </row>
    <row r="46" spans="1:7" ht="15.75" thickBot="1" x14ac:dyDescent="0.3">
      <c r="A46" s="49"/>
      <c r="B46" s="6"/>
      <c r="C46" s="49"/>
      <c r="E46" s="125" t="s">
        <v>172</v>
      </c>
      <c r="F46" s="127">
        <f>14+33+186+126+84+81+79+36+82</f>
        <v>721</v>
      </c>
      <c r="G46" s="88">
        <f t="shared" si="4"/>
        <v>4.2309723607769495E-2</v>
      </c>
    </row>
    <row r="47" spans="1:7" ht="18" thickBot="1" x14ac:dyDescent="0.35">
      <c r="A47" s="154" t="s">
        <v>41</v>
      </c>
      <c r="B47" s="155"/>
      <c r="C47" s="156"/>
      <c r="E47" s="125" t="s">
        <v>17</v>
      </c>
      <c r="F47" s="127">
        <f>41+185+136+9+38+98+16</f>
        <v>523</v>
      </c>
      <c r="G47" s="88">
        <f t="shared" si="4"/>
        <v>3.0690687166246112E-2</v>
      </c>
    </row>
    <row r="48" spans="1:7" x14ac:dyDescent="0.25">
      <c r="A48" s="12" t="s">
        <v>6</v>
      </c>
      <c r="B48" s="4" t="s">
        <v>7</v>
      </c>
      <c r="C48" s="11" t="s">
        <v>2</v>
      </c>
      <c r="E48" s="125" t="s">
        <v>24</v>
      </c>
      <c r="F48" s="127">
        <f>35+24+137+39+140</f>
        <v>375</v>
      </c>
      <c r="G48" s="88">
        <f t="shared" si="4"/>
        <v>2.2005750836218533E-2</v>
      </c>
    </row>
    <row r="49" spans="1:7" x14ac:dyDescent="0.25">
      <c r="A49" s="42" t="s">
        <v>36</v>
      </c>
      <c r="B49" s="6">
        <f>B26</f>
        <v>22782</v>
      </c>
      <c r="C49" s="5">
        <f>B49/$B$51</f>
        <v>0.47199950276586489</v>
      </c>
      <c r="E49" s="125" t="s">
        <v>19</v>
      </c>
      <c r="F49" s="127">
        <f>20+72+20+41+10+53+49</f>
        <v>265</v>
      </c>
      <c r="G49" s="88">
        <f t="shared" si="4"/>
        <v>1.5550730590927762E-2</v>
      </c>
    </row>
    <row r="50" spans="1:7" x14ac:dyDescent="0.25">
      <c r="A50" s="13" t="s">
        <v>37</v>
      </c>
      <c r="B50" s="14">
        <f>B27</f>
        <v>25485</v>
      </c>
      <c r="C50" s="15">
        <f>B50/$B$51</f>
        <v>0.52800049723413511</v>
      </c>
      <c r="E50" s="125" t="s">
        <v>26</v>
      </c>
      <c r="F50" s="127">
        <f>88+39+60+11</f>
        <v>198</v>
      </c>
      <c r="G50" s="88">
        <f t="shared" si="4"/>
        <v>1.1619036441523385E-2</v>
      </c>
    </row>
    <row r="51" spans="1:7" ht="15.75" thickBot="1" x14ac:dyDescent="0.3">
      <c r="A51" s="43" t="s">
        <v>5</v>
      </c>
      <c r="B51" s="3">
        <f>SUM(B49:B50)</f>
        <v>48267</v>
      </c>
      <c r="C51" s="2"/>
      <c r="E51" s="125" t="s">
        <v>20</v>
      </c>
      <c r="F51" s="127">
        <f>39+14+12+90+37</f>
        <v>192</v>
      </c>
      <c r="G51" s="88">
        <f t="shared" si="4"/>
        <v>1.1266944428143888E-2</v>
      </c>
    </row>
    <row r="52" spans="1:7" ht="15.75" thickBot="1" x14ac:dyDescent="0.3">
      <c r="A52" s="49"/>
      <c r="B52" s="6"/>
      <c r="C52" s="49"/>
      <c r="E52" s="125" t="s">
        <v>23</v>
      </c>
      <c r="F52" s="127">
        <f>115+14+20</f>
        <v>149</v>
      </c>
      <c r="G52" s="88">
        <f t="shared" si="4"/>
        <v>8.7436183322574974E-3</v>
      </c>
    </row>
    <row r="53" spans="1:7" ht="18" thickBot="1" x14ac:dyDescent="0.35">
      <c r="A53" s="154" t="s">
        <v>44</v>
      </c>
      <c r="B53" s="155"/>
      <c r="C53" s="156"/>
      <c r="E53" s="125" t="s">
        <v>32</v>
      </c>
      <c r="F53" s="127">
        <f>29+27+26</f>
        <v>82</v>
      </c>
      <c r="G53" s="88">
        <f t="shared" si="4"/>
        <v>4.8119241828531193E-3</v>
      </c>
    </row>
    <row r="54" spans="1:7" x14ac:dyDescent="0.25">
      <c r="A54" s="12" t="s">
        <v>45</v>
      </c>
      <c r="B54" s="4" t="s">
        <v>7</v>
      </c>
      <c r="C54" s="11" t="s">
        <v>2</v>
      </c>
      <c r="E54" s="125" t="s">
        <v>28</v>
      </c>
      <c r="F54" s="127">
        <f>23+54</f>
        <v>77</v>
      </c>
      <c r="G54" s="88">
        <f t="shared" si="4"/>
        <v>4.5185141717035389E-3</v>
      </c>
    </row>
    <row r="55" spans="1:7" x14ac:dyDescent="0.25">
      <c r="A55" s="42" t="s">
        <v>46</v>
      </c>
      <c r="B55" s="6">
        <f>SUM('1:10'!B55)</f>
        <v>8322</v>
      </c>
      <c r="C55" s="5">
        <f t="shared" ref="C55:C61" si="5">B55/$B$62</f>
        <v>7.9858745405867057E-2</v>
      </c>
      <c r="E55" s="125" t="s">
        <v>29</v>
      </c>
      <c r="F55" s="127">
        <v>65</v>
      </c>
      <c r="G55" s="88">
        <f t="shared" si="4"/>
        <v>3.8143301449445454E-3</v>
      </c>
    </row>
    <row r="56" spans="1:7" x14ac:dyDescent="0.25">
      <c r="A56" s="42" t="s">
        <v>47</v>
      </c>
      <c r="B56" s="6">
        <f>SUM('1:10'!B56)</f>
        <v>8017</v>
      </c>
      <c r="C56" s="5">
        <f t="shared" si="5"/>
        <v>7.6931934861672213E-2</v>
      </c>
      <c r="E56" s="125" t="s">
        <v>27</v>
      </c>
      <c r="F56" s="127">
        <v>63</v>
      </c>
      <c r="G56" s="88">
        <f t="shared" si="4"/>
        <v>3.6969661404847132E-3</v>
      </c>
    </row>
    <row r="57" spans="1:7" x14ac:dyDescent="0.25">
      <c r="A57" s="42" t="s">
        <v>48</v>
      </c>
      <c r="B57" s="6">
        <f>SUM('1:10'!B57)</f>
        <v>17372</v>
      </c>
      <c r="C57" s="5">
        <f t="shared" si="5"/>
        <v>0.16670345171722212</v>
      </c>
      <c r="E57" s="125" t="s">
        <v>109</v>
      </c>
      <c r="F57" s="127">
        <v>47</v>
      </c>
      <c r="G57" s="88">
        <f t="shared" si="4"/>
        <v>2.758054104806056E-3</v>
      </c>
    </row>
    <row r="58" spans="1:7" x14ac:dyDescent="0.25">
      <c r="A58" s="42" t="s">
        <v>49</v>
      </c>
      <c r="B58" s="6">
        <f>SUM('1:10'!B58)</f>
        <v>21445</v>
      </c>
      <c r="C58" s="5">
        <f t="shared" si="5"/>
        <v>0.20578836760740435</v>
      </c>
      <c r="E58" s="125" t="s">
        <v>103</v>
      </c>
      <c r="F58" s="127">
        <v>45</v>
      </c>
      <c r="G58" s="88">
        <f t="shared" si="4"/>
        <v>2.6406901003462237E-3</v>
      </c>
    </row>
    <row r="59" spans="1:7" x14ac:dyDescent="0.25">
      <c r="A59" s="42" t="s">
        <v>50</v>
      </c>
      <c r="B59" s="6">
        <f>SUM('1:10'!B59)</f>
        <v>18759</v>
      </c>
      <c r="C59" s="5">
        <f t="shared" si="5"/>
        <v>0.18001324261819995</v>
      </c>
      <c r="E59" s="67" t="s">
        <v>121</v>
      </c>
      <c r="F59" s="141">
        <v>42</v>
      </c>
      <c r="G59" s="88">
        <f t="shared" si="4"/>
        <v>2.4646440936564756E-3</v>
      </c>
    </row>
    <row r="60" spans="1:7" x14ac:dyDescent="0.25">
      <c r="A60" s="42" t="s">
        <v>51</v>
      </c>
      <c r="B60" s="6">
        <f>SUM('1:10'!B60)</f>
        <v>14940</v>
      </c>
      <c r="C60" s="5">
        <f t="shared" si="5"/>
        <v>0.14336573616482262</v>
      </c>
      <c r="E60" s="140" t="s">
        <v>166</v>
      </c>
      <c r="F60" s="141">
        <v>41</v>
      </c>
      <c r="G60" s="88">
        <f t="shared" si="4"/>
        <v>2.4059620914265597E-3</v>
      </c>
    </row>
    <row r="61" spans="1:7" x14ac:dyDescent="0.25">
      <c r="A61" s="13" t="s">
        <v>52</v>
      </c>
      <c r="B61" s="6">
        <f>SUM('1:10'!B61)</f>
        <v>15354</v>
      </c>
      <c r="C61" s="15">
        <f t="shared" si="5"/>
        <v>0.14733852162481167</v>
      </c>
      <c r="E61" s="67" t="s">
        <v>128</v>
      </c>
      <c r="F61" s="141">
        <v>39</v>
      </c>
      <c r="G61" s="88">
        <f t="shared" si="4"/>
        <v>2.2885980869667274E-3</v>
      </c>
    </row>
    <row r="62" spans="1:7" ht="15.75" thickBot="1" x14ac:dyDescent="0.3">
      <c r="A62" s="43" t="s">
        <v>5</v>
      </c>
      <c r="B62" s="84">
        <f>SUM(B55:B61)</f>
        <v>104209</v>
      </c>
      <c r="C62" s="2"/>
      <c r="E62" s="125" t="s">
        <v>107</v>
      </c>
      <c r="F62" s="127">
        <v>36</v>
      </c>
      <c r="G62" s="88">
        <f t="shared" si="4"/>
        <v>2.1125520802769793E-3</v>
      </c>
    </row>
    <row r="63" spans="1:7" ht="15.75" thickBot="1" x14ac:dyDescent="0.3">
      <c r="E63" s="125" t="s">
        <v>184</v>
      </c>
      <c r="F63" s="127">
        <v>35</v>
      </c>
      <c r="G63" s="88">
        <f t="shared" si="4"/>
        <v>2.0538700780470629E-3</v>
      </c>
    </row>
    <row r="64" spans="1:7" ht="18" thickBot="1" x14ac:dyDescent="0.35">
      <c r="A64" s="154" t="s">
        <v>53</v>
      </c>
      <c r="B64" s="155"/>
      <c r="C64" s="156"/>
      <c r="E64" s="125" t="s">
        <v>126</v>
      </c>
      <c r="F64" s="127">
        <v>34</v>
      </c>
      <c r="G64" s="88">
        <f t="shared" si="4"/>
        <v>1.995188075817147E-3</v>
      </c>
    </row>
    <row r="65" spans="1:7" x14ac:dyDescent="0.25">
      <c r="A65" s="12" t="s">
        <v>45</v>
      </c>
      <c r="B65" s="4" t="s">
        <v>7</v>
      </c>
      <c r="C65" s="11" t="s">
        <v>2</v>
      </c>
      <c r="E65" s="125" t="s">
        <v>25</v>
      </c>
      <c r="F65" s="127">
        <v>32</v>
      </c>
      <c r="G65" s="88">
        <f t="shared" si="4"/>
        <v>1.8778240713573147E-3</v>
      </c>
    </row>
    <row r="66" spans="1:7" x14ac:dyDescent="0.25">
      <c r="A66" s="42" t="s">
        <v>46</v>
      </c>
      <c r="B66" s="6">
        <f>SUM('1:10'!B66)</f>
        <v>4757</v>
      </c>
      <c r="C66" s="5">
        <f t="shared" ref="C66:C72" si="6">B66/$B$73</f>
        <v>9.855594919924586E-2</v>
      </c>
      <c r="E66" s="125" t="s">
        <v>110</v>
      </c>
      <c r="F66" s="127">
        <v>26</v>
      </c>
      <c r="G66" s="88">
        <f t="shared" si="4"/>
        <v>1.5257320579778182E-3</v>
      </c>
    </row>
    <row r="67" spans="1:7" x14ac:dyDescent="0.25">
      <c r="A67" s="42" t="s">
        <v>47</v>
      </c>
      <c r="B67" s="6">
        <f>SUM('1:10'!B67)</f>
        <v>4591</v>
      </c>
      <c r="C67" s="5">
        <f t="shared" si="6"/>
        <v>9.5116746431309171E-2</v>
      </c>
      <c r="E67" s="125" t="s">
        <v>30</v>
      </c>
      <c r="F67" s="127">
        <v>20</v>
      </c>
      <c r="G67" s="88">
        <f t="shared" si="4"/>
        <v>1.1736400445983217E-3</v>
      </c>
    </row>
    <row r="68" spans="1:7" ht="15.75" customHeight="1" x14ac:dyDescent="0.25">
      <c r="A68" s="42" t="s">
        <v>48</v>
      </c>
      <c r="B68" s="6">
        <f>SUM('1:10'!B68)</f>
        <v>8802</v>
      </c>
      <c r="C68" s="5">
        <f t="shared" si="6"/>
        <v>0.18236061905649822</v>
      </c>
      <c r="E68" s="125" t="s">
        <v>122</v>
      </c>
      <c r="F68" s="127">
        <v>19</v>
      </c>
      <c r="G68" s="88">
        <f t="shared" si="4"/>
        <v>1.1149580423684055E-3</v>
      </c>
    </row>
    <row r="69" spans="1:7" x14ac:dyDescent="0.25">
      <c r="A69" s="42" t="s">
        <v>49</v>
      </c>
      <c r="B69" s="6">
        <f>SUM('1:10'!B69)</f>
        <v>8877</v>
      </c>
      <c r="C69" s="5">
        <f t="shared" si="6"/>
        <v>0.18391447572875877</v>
      </c>
      <c r="E69" s="125" t="s">
        <v>243</v>
      </c>
      <c r="F69" s="127">
        <v>18</v>
      </c>
      <c r="G69" s="88">
        <f t="shared" si="4"/>
        <v>1.0562760401384896E-3</v>
      </c>
    </row>
    <row r="70" spans="1:7" ht="36" customHeight="1" x14ac:dyDescent="0.25">
      <c r="A70" s="42" t="s">
        <v>50</v>
      </c>
      <c r="B70" s="6">
        <f>SUM('1:10'!B70)</f>
        <v>7659</v>
      </c>
      <c r="C70" s="5">
        <f t="shared" si="6"/>
        <v>0.15867984337124744</v>
      </c>
      <c r="E70" s="67" t="s">
        <v>16</v>
      </c>
      <c r="F70" s="141">
        <v>17</v>
      </c>
      <c r="G70" s="88">
        <f t="shared" si="4"/>
        <v>9.975940379085735E-4</v>
      </c>
    </row>
    <row r="71" spans="1:7" ht="18" customHeight="1" x14ac:dyDescent="0.25">
      <c r="A71" s="42" t="s">
        <v>51</v>
      </c>
      <c r="B71" s="6">
        <f>SUM('1:10'!B71)</f>
        <v>6449</v>
      </c>
      <c r="C71" s="5">
        <f t="shared" si="6"/>
        <v>0.13361095572544388</v>
      </c>
      <c r="E71" s="67" t="s">
        <v>131</v>
      </c>
      <c r="F71" s="141">
        <v>15</v>
      </c>
      <c r="G71" s="88">
        <f t="shared" si="4"/>
        <v>8.8023003344874125E-4</v>
      </c>
    </row>
    <row r="72" spans="1:7" x14ac:dyDescent="0.25">
      <c r="A72" s="13" t="s">
        <v>52</v>
      </c>
      <c r="B72" s="6">
        <f>SUM('1:10'!B72)</f>
        <v>7132</v>
      </c>
      <c r="C72" s="15">
        <f t="shared" si="6"/>
        <v>0.14776141048749664</v>
      </c>
      <c r="E72" s="67" t="s">
        <v>110</v>
      </c>
      <c r="F72" s="141">
        <v>14</v>
      </c>
      <c r="G72" s="88">
        <f t="shared" si="4"/>
        <v>8.2154803121882523E-4</v>
      </c>
    </row>
    <row r="73" spans="1:7" ht="15.75" thickBot="1" x14ac:dyDescent="0.3">
      <c r="A73" s="43" t="s">
        <v>5</v>
      </c>
      <c r="B73" s="84">
        <f>SUM(B66:B72)</f>
        <v>48267</v>
      </c>
      <c r="C73" s="2"/>
      <c r="E73" s="67" t="s">
        <v>253</v>
      </c>
      <c r="F73" s="141">
        <v>12</v>
      </c>
      <c r="G73" s="88">
        <f t="shared" si="4"/>
        <v>7.0418402675899298E-4</v>
      </c>
    </row>
    <row r="74" spans="1:7" ht="15.75" thickBot="1" x14ac:dyDescent="0.3">
      <c r="E74" s="126" t="s">
        <v>33</v>
      </c>
      <c r="F74" s="102">
        <f>55+167+88+151+68</f>
        <v>529</v>
      </c>
      <c r="G74" s="145">
        <f t="shared" si="4"/>
        <v>3.1042779179625609E-2</v>
      </c>
    </row>
    <row r="75" spans="1:7" ht="18" thickBot="1" x14ac:dyDescent="0.35">
      <c r="A75" s="180" t="s">
        <v>11</v>
      </c>
      <c r="B75" s="181"/>
      <c r="C75" s="182"/>
      <c r="E75" s="132" t="s">
        <v>5</v>
      </c>
      <c r="F75" s="142">
        <f>SUM(F42:F74)</f>
        <v>17041</v>
      </c>
      <c r="G75" s="2"/>
    </row>
    <row r="76" spans="1:7" ht="15.75" thickBot="1" x14ac:dyDescent="0.3">
      <c r="A76" s="12" t="s">
        <v>12</v>
      </c>
      <c r="B76" s="4" t="s">
        <v>1</v>
      </c>
      <c r="C76" s="11" t="s">
        <v>2</v>
      </c>
    </row>
    <row r="77" spans="1:7" ht="18" thickBot="1" x14ac:dyDescent="0.35">
      <c r="A77" s="125" t="s">
        <v>13</v>
      </c>
      <c r="B77" s="80">
        <f>28164+4971+573+1807+2830+406+1453+2682+12170+310</f>
        <v>55366</v>
      </c>
      <c r="C77" s="135">
        <f>B77/$B$110</f>
        <v>0.53221697795806944</v>
      </c>
      <c r="E77" s="167" t="s">
        <v>61</v>
      </c>
      <c r="F77" s="168"/>
      <c r="G77" s="169"/>
    </row>
    <row r="78" spans="1:7" ht="15.75" thickBot="1" x14ac:dyDescent="0.3">
      <c r="A78" s="125" t="s">
        <v>14</v>
      </c>
      <c r="B78" s="127">
        <f>2425+505+2167+410+100+866+2195+335+706+307</f>
        <v>10016</v>
      </c>
      <c r="C78" s="136">
        <f>B78/$B$110</f>
        <v>9.6280844764440682E-2</v>
      </c>
      <c r="E78" s="129" t="s">
        <v>12</v>
      </c>
      <c r="F78" s="130" t="s">
        <v>1</v>
      </c>
      <c r="G78" s="131" t="s">
        <v>2</v>
      </c>
    </row>
    <row r="79" spans="1:7" ht="18" customHeight="1" x14ac:dyDescent="0.25">
      <c r="A79" s="125" t="s">
        <v>184</v>
      </c>
      <c r="B79" s="127">
        <f>171+6296+449+1845</f>
        <v>8761</v>
      </c>
      <c r="C79" s="136">
        <f t="shared" ref="C79:C109" si="7">B79/$B$110</f>
        <v>8.4216901056436186E-2</v>
      </c>
      <c r="E79" s="125" t="s">
        <v>13</v>
      </c>
      <c r="F79" s="127">
        <f>159+27+778+3599+258+25+138+266+1261</f>
        <v>6511</v>
      </c>
      <c r="G79" s="5">
        <f t="shared" ref="G79:G100" si="8">F79/$F$101</f>
        <v>0.71841553569458239</v>
      </c>
    </row>
    <row r="80" spans="1:7" x14ac:dyDescent="0.25">
      <c r="A80" s="125" t="s">
        <v>17</v>
      </c>
      <c r="B80" s="127">
        <f>1109+102+663+233+26+233+528+225</f>
        <v>3119</v>
      </c>
      <c r="C80" s="136">
        <f t="shared" si="7"/>
        <v>2.9982024243239865E-2</v>
      </c>
      <c r="E80" s="125" t="s">
        <v>14</v>
      </c>
      <c r="F80" s="127">
        <f>121+197+11+60+70+68+30</f>
        <v>557</v>
      </c>
      <c r="G80" s="5">
        <f t="shared" si="8"/>
        <v>6.1458678141895623E-2</v>
      </c>
    </row>
    <row r="81" spans="1:47" x14ac:dyDescent="0.25">
      <c r="A81" s="125" t="s">
        <v>172</v>
      </c>
      <c r="B81" s="127">
        <f>193+81+41+762+592+241+188+141+175+237+437</f>
        <v>3088</v>
      </c>
      <c r="C81" s="136">
        <f t="shared" si="7"/>
        <v>2.9684030414595931E-2</v>
      </c>
      <c r="E81" s="125" t="s">
        <v>184</v>
      </c>
      <c r="F81" s="127">
        <f>204+15+17+11+178</f>
        <v>425</v>
      </c>
      <c r="G81" s="5">
        <f t="shared" si="8"/>
        <v>4.6893964470925739E-2</v>
      </c>
    </row>
    <row r="82" spans="1:47" x14ac:dyDescent="0.25">
      <c r="A82" s="125" t="s">
        <v>19</v>
      </c>
      <c r="B82" s="127">
        <f>180+369+505+360+290+206+223+284+323</f>
        <v>2740</v>
      </c>
      <c r="C82" s="136">
        <f t="shared" si="7"/>
        <v>2.6338809370464004E-2</v>
      </c>
      <c r="E82" s="125" t="s">
        <v>18</v>
      </c>
      <c r="F82" s="127">
        <f>13+69+29+46+227+9</f>
        <v>393</v>
      </c>
      <c r="G82" s="5">
        <f t="shared" si="8"/>
        <v>4.3363124793114861E-2</v>
      </c>
    </row>
    <row r="83" spans="1:47" ht="14.1" customHeight="1" x14ac:dyDescent="0.25">
      <c r="A83" s="125" t="s">
        <v>20</v>
      </c>
      <c r="B83" s="127">
        <f>298+424+247+152+640+255</f>
        <v>2016</v>
      </c>
      <c r="C83" s="136">
        <f t="shared" si="7"/>
        <v>1.9379211566005632E-2</v>
      </c>
      <c r="E83" s="125" t="s">
        <v>172</v>
      </c>
      <c r="F83" s="127">
        <f>19+16+27+17+56+31+29</f>
        <v>195</v>
      </c>
      <c r="G83" s="5">
        <f t="shared" si="8"/>
        <v>2.1516054286660046E-2</v>
      </c>
    </row>
    <row r="84" spans="1:47" s="41" customFormat="1" x14ac:dyDescent="0.25">
      <c r="A84" s="125" t="s">
        <v>26</v>
      </c>
      <c r="B84" s="127">
        <f>155+277+274+49+266+106+462</f>
        <v>1589</v>
      </c>
      <c r="C84" s="136">
        <f t="shared" si="7"/>
        <v>1.5274586894039162E-2</v>
      </c>
      <c r="D84" s="40"/>
      <c r="E84" s="125" t="s">
        <v>20</v>
      </c>
      <c r="F84" s="127">
        <f>17+15+12+78+37</f>
        <v>159</v>
      </c>
      <c r="G84" s="5">
        <f t="shared" si="8"/>
        <v>1.7543859649122806E-2</v>
      </c>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row>
    <row r="85" spans="1:47" x14ac:dyDescent="0.25">
      <c r="A85" s="125" t="s">
        <v>18</v>
      </c>
      <c r="B85" s="127">
        <v>1217</v>
      </c>
      <c r="C85" s="136">
        <f t="shared" si="7"/>
        <v>1.1698660950311933E-2</v>
      </c>
      <c r="D85" s="41"/>
      <c r="E85" s="125" t="s">
        <v>24</v>
      </c>
      <c r="F85" s="127">
        <v>121</v>
      </c>
      <c r="G85" s="5">
        <f t="shared" si="8"/>
        <v>1.3350987531722388E-2</v>
      </c>
    </row>
    <row r="86" spans="1:47" x14ac:dyDescent="0.25">
      <c r="A86" s="125" t="s">
        <v>24</v>
      </c>
      <c r="B86" s="127">
        <f>120+474+156+423</f>
        <v>1173</v>
      </c>
      <c r="C86" s="136">
        <f t="shared" si="7"/>
        <v>1.127570196772054E-2</v>
      </c>
      <c r="E86" s="125" t="s">
        <v>23</v>
      </c>
      <c r="F86" s="127">
        <f>12+55+14+19+20</f>
        <v>120</v>
      </c>
      <c r="G86" s="5">
        <f t="shared" si="8"/>
        <v>1.3240648791790799E-2</v>
      </c>
    </row>
    <row r="87" spans="1:47" x14ac:dyDescent="0.25">
      <c r="A87" s="125" t="s">
        <v>16</v>
      </c>
      <c r="B87" s="127">
        <f>69+230+161+481</f>
        <v>941</v>
      </c>
      <c r="C87" s="136">
        <f t="shared" si="7"/>
        <v>9.0455546049659236E-3</v>
      </c>
      <c r="E87" s="125" t="s">
        <v>17</v>
      </c>
      <c r="F87" s="127">
        <f>64+20+36</f>
        <v>120</v>
      </c>
      <c r="G87" s="5">
        <f t="shared" si="8"/>
        <v>1.3240648791790799E-2</v>
      </c>
    </row>
    <row r="88" spans="1:47" x14ac:dyDescent="0.25">
      <c r="A88" s="125" t="s">
        <v>18</v>
      </c>
      <c r="B88" s="127">
        <v>847</v>
      </c>
      <c r="C88" s="136">
        <f t="shared" si="7"/>
        <v>8.1419604148843111E-3</v>
      </c>
      <c r="E88" s="125" t="s">
        <v>26</v>
      </c>
      <c r="F88" s="127">
        <v>104</v>
      </c>
      <c r="G88" s="5">
        <f t="shared" si="8"/>
        <v>1.1475228952885358E-2</v>
      </c>
    </row>
    <row r="89" spans="1:47" ht="15" customHeight="1" x14ac:dyDescent="0.25">
      <c r="A89" s="125" t="s">
        <v>23</v>
      </c>
      <c r="B89" s="127">
        <f>456+38+113</f>
        <v>607</v>
      </c>
      <c r="C89" s="136">
        <f t="shared" si="7"/>
        <v>5.8349114189312594E-3</v>
      </c>
      <c r="E89" s="125" t="s">
        <v>19</v>
      </c>
      <c r="F89" s="127">
        <v>53</v>
      </c>
      <c r="G89" s="5">
        <f t="shared" si="8"/>
        <v>5.8479532163742687E-3</v>
      </c>
    </row>
    <row r="90" spans="1:47" ht="15" customHeight="1" x14ac:dyDescent="0.25">
      <c r="A90" s="125" t="s">
        <v>107</v>
      </c>
      <c r="B90" s="127">
        <v>492</v>
      </c>
      <c r="C90" s="136">
        <f t="shared" si="7"/>
        <v>4.7294504417037557E-3</v>
      </c>
      <c r="E90" s="125" t="s">
        <v>126</v>
      </c>
      <c r="F90" s="127">
        <v>34</v>
      </c>
      <c r="G90" s="5">
        <f t="shared" si="8"/>
        <v>3.7515171576740594E-3</v>
      </c>
    </row>
    <row r="91" spans="1:47" ht="15.95" customHeight="1" x14ac:dyDescent="0.25">
      <c r="A91" s="125" t="s">
        <v>103</v>
      </c>
      <c r="B91" s="127">
        <f>224+207</f>
        <v>431</v>
      </c>
      <c r="C91" s="136">
        <f t="shared" si="7"/>
        <v>4.1430754885656883E-3</v>
      </c>
      <c r="E91" s="125" t="s">
        <v>103</v>
      </c>
      <c r="F91" s="127">
        <v>29</v>
      </c>
      <c r="G91" s="5">
        <f t="shared" si="8"/>
        <v>3.1998234580161095E-3</v>
      </c>
    </row>
    <row r="92" spans="1:47" ht="15" customHeight="1" x14ac:dyDescent="0.25">
      <c r="A92" s="125" t="s">
        <v>25</v>
      </c>
      <c r="B92" s="127">
        <v>354</v>
      </c>
      <c r="C92" s="136">
        <f t="shared" si="7"/>
        <v>3.402897269030751E-3</v>
      </c>
      <c r="E92" s="125" t="s">
        <v>110</v>
      </c>
      <c r="F92" s="127">
        <v>26</v>
      </c>
      <c r="G92" s="5">
        <f t="shared" si="8"/>
        <v>2.8688072382213395E-3</v>
      </c>
    </row>
    <row r="93" spans="1:47" ht="15" customHeight="1" x14ac:dyDescent="0.25">
      <c r="A93" s="125" t="s">
        <v>18</v>
      </c>
      <c r="B93" s="127">
        <v>339</v>
      </c>
      <c r="C93" s="136">
        <f t="shared" si="7"/>
        <v>3.2587067067836855E-3</v>
      </c>
      <c r="E93" s="125" t="s">
        <v>263</v>
      </c>
      <c r="F93" s="127">
        <v>22</v>
      </c>
      <c r="G93" s="5">
        <f t="shared" si="8"/>
        <v>2.4274522784949798E-3</v>
      </c>
    </row>
    <row r="94" spans="1:47" ht="15" customHeight="1" x14ac:dyDescent="0.25">
      <c r="A94" s="125" t="s">
        <v>32</v>
      </c>
      <c r="B94" s="127">
        <f>216+122</f>
        <v>338</v>
      </c>
      <c r="C94" s="136">
        <f t="shared" si="7"/>
        <v>3.2490940026338811E-3</v>
      </c>
      <c r="E94" s="125" t="s">
        <v>128</v>
      </c>
      <c r="F94" s="127">
        <v>21</v>
      </c>
      <c r="G94" s="5">
        <f t="shared" si="8"/>
        <v>2.3171135385633896E-3</v>
      </c>
    </row>
    <row r="95" spans="1:47" ht="15" customHeight="1" x14ac:dyDescent="0.25">
      <c r="A95" s="125" t="s">
        <v>108</v>
      </c>
      <c r="B95" s="127">
        <v>294</v>
      </c>
      <c r="C95" s="136">
        <f t="shared" si="7"/>
        <v>2.8261350200424881E-3</v>
      </c>
      <c r="E95" s="125" t="s">
        <v>86</v>
      </c>
      <c r="F95" s="127">
        <v>20</v>
      </c>
      <c r="G95" s="5">
        <f t="shared" si="8"/>
        <v>2.2067747986317995E-3</v>
      </c>
    </row>
    <row r="96" spans="1:47" ht="15" customHeight="1" x14ac:dyDescent="0.25">
      <c r="A96" s="125" t="s">
        <v>109</v>
      </c>
      <c r="B96" s="127">
        <v>285</v>
      </c>
      <c r="C96" s="136">
        <f t="shared" si="7"/>
        <v>2.7396206826942487E-3</v>
      </c>
      <c r="E96" s="125" t="s">
        <v>125</v>
      </c>
      <c r="F96" s="127">
        <v>16</v>
      </c>
      <c r="G96" s="5">
        <f t="shared" si="8"/>
        <v>1.7654198389054397E-3</v>
      </c>
    </row>
    <row r="97" spans="1:7" ht="15" customHeight="1" x14ac:dyDescent="0.25">
      <c r="A97" s="125" t="s">
        <v>18</v>
      </c>
      <c r="B97" s="127">
        <v>219</v>
      </c>
      <c r="C97" s="136">
        <f t="shared" si="7"/>
        <v>2.1051822088071596E-3</v>
      </c>
      <c r="E97" s="125" t="s">
        <v>107</v>
      </c>
      <c r="F97" s="127">
        <v>15</v>
      </c>
      <c r="G97" s="5">
        <f t="shared" si="8"/>
        <v>1.6550810989738498E-3</v>
      </c>
    </row>
    <row r="98" spans="1:7" ht="15" customHeight="1" x14ac:dyDescent="0.25">
      <c r="A98" s="125" t="s">
        <v>28</v>
      </c>
      <c r="B98" s="127">
        <v>198</v>
      </c>
      <c r="C98" s="136">
        <f t="shared" si="7"/>
        <v>1.9033154216612676E-3</v>
      </c>
      <c r="E98" s="125" t="s">
        <v>29</v>
      </c>
      <c r="F98" s="127">
        <v>13</v>
      </c>
      <c r="G98" s="5">
        <f t="shared" si="8"/>
        <v>1.4344036191106697E-3</v>
      </c>
    </row>
    <row r="99" spans="1:7" ht="15" customHeight="1" x14ac:dyDescent="0.25">
      <c r="A99" s="125" t="s">
        <v>18</v>
      </c>
      <c r="B99" s="127">
        <v>180</v>
      </c>
      <c r="C99" s="136">
        <f t="shared" si="7"/>
        <v>1.7302867469647886E-3</v>
      </c>
      <c r="E99" s="125" t="s">
        <v>31</v>
      </c>
      <c r="F99" s="127">
        <v>12</v>
      </c>
      <c r="G99" s="5">
        <f t="shared" si="8"/>
        <v>1.3240648791790798E-3</v>
      </c>
    </row>
    <row r="100" spans="1:7" ht="15" customHeight="1" x14ac:dyDescent="0.25">
      <c r="A100" s="125" t="s">
        <v>121</v>
      </c>
      <c r="B100" s="127">
        <v>162</v>
      </c>
      <c r="C100" s="136">
        <f t="shared" si="7"/>
        <v>1.5572580722683098E-3</v>
      </c>
      <c r="E100" s="126" t="s">
        <v>33</v>
      </c>
      <c r="F100" s="102">
        <f>19+78</f>
        <v>97</v>
      </c>
      <c r="G100" s="15">
        <f t="shared" si="8"/>
        <v>1.0702857773364228E-2</v>
      </c>
    </row>
    <row r="101" spans="1:7" ht="15" customHeight="1" thickBot="1" x14ac:dyDescent="0.3">
      <c r="A101" s="125" t="s">
        <v>29</v>
      </c>
      <c r="B101" s="127">
        <v>161</v>
      </c>
      <c r="C101" s="136">
        <f t="shared" si="7"/>
        <v>1.5476453681185054E-3</v>
      </c>
      <c r="E101" s="132" t="s">
        <v>5</v>
      </c>
      <c r="F101" s="138">
        <f>SUM(F79:F100)</f>
        <v>9063</v>
      </c>
      <c r="G101" s="45"/>
    </row>
    <row r="102" spans="1:7" x14ac:dyDescent="0.25">
      <c r="A102" s="125" t="s">
        <v>27</v>
      </c>
      <c r="B102" s="127">
        <v>143</v>
      </c>
      <c r="C102" s="136">
        <f t="shared" si="7"/>
        <v>1.3746166934220266E-3</v>
      </c>
    </row>
    <row r="103" spans="1:7" x14ac:dyDescent="0.25">
      <c r="A103" s="125" t="s">
        <v>122</v>
      </c>
      <c r="B103" s="127">
        <v>125</v>
      </c>
      <c r="C103" s="136">
        <f t="shared" si="7"/>
        <v>1.2015880187255478E-3</v>
      </c>
    </row>
    <row r="104" spans="1:7" x14ac:dyDescent="0.25">
      <c r="A104" s="125" t="s">
        <v>18</v>
      </c>
      <c r="B104" s="127">
        <v>121</v>
      </c>
      <c r="C104" s="136">
        <f t="shared" si="7"/>
        <v>1.1631372021263301E-3</v>
      </c>
    </row>
    <row r="105" spans="1:7" x14ac:dyDescent="0.25">
      <c r="A105" s="125" t="s">
        <v>30</v>
      </c>
      <c r="B105" s="127">
        <v>91</v>
      </c>
      <c r="C105" s="136">
        <f t="shared" si="7"/>
        <v>8.7475607763219871E-4</v>
      </c>
    </row>
    <row r="106" spans="1:7" x14ac:dyDescent="0.25">
      <c r="A106" s="125" t="s">
        <v>63</v>
      </c>
      <c r="B106" s="127">
        <v>78</v>
      </c>
      <c r="C106" s="136">
        <f t="shared" si="7"/>
        <v>7.4979092368474172E-4</v>
      </c>
    </row>
    <row r="107" spans="1:7" x14ac:dyDescent="0.25">
      <c r="A107" s="125" t="s">
        <v>86</v>
      </c>
      <c r="B107" s="127">
        <v>75</v>
      </c>
      <c r="C107" s="136">
        <f t="shared" si="7"/>
        <v>7.2095281123532866E-4</v>
      </c>
    </row>
    <row r="108" spans="1:7" x14ac:dyDescent="0.25">
      <c r="A108" s="125" t="s">
        <v>110</v>
      </c>
      <c r="B108" s="127">
        <v>41</v>
      </c>
      <c r="C108" s="136">
        <f t="shared" si="7"/>
        <v>3.9412087014197966E-4</v>
      </c>
    </row>
    <row r="109" spans="1:7" x14ac:dyDescent="0.25">
      <c r="A109" s="126" t="s">
        <v>33</v>
      </c>
      <c r="B109" s="102">
        <f>746+1136+1729+1110+268+195+813+390+1320+715</f>
        <v>8422</v>
      </c>
      <c r="C109" s="139">
        <f t="shared" si="7"/>
        <v>8.0958194349652499E-2</v>
      </c>
    </row>
    <row r="110" spans="1:7" ht="16.5" thickBot="1" x14ac:dyDescent="0.3">
      <c r="A110" s="132" t="s">
        <v>5</v>
      </c>
      <c r="B110" s="138">
        <f>SUM(B77:B109)</f>
        <v>104029</v>
      </c>
      <c r="C110" s="137"/>
    </row>
    <row r="111" spans="1:7" ht="15.75" thickBot="1" x14ac:dyDescent="0.3"/>
    <row r="112" spans="1:7" ht="18" thickBot="1" x14ac:dyDescent="0.35">
      <c r="A112" s="154" t="s">
        <v>42</v>
      </c>
      <c r="B112" s="155"/>
      <c r="C112" s="156"/>
    </row>
    <row r="113" spans="1:3" x14ac:dyDescent="0.25">
      <c r="A113" s="12" t="s">
        <v>12</v>
      </c>
      <c r="B113" s="4" t="s">
        <v>1</v>
      </c>
      <c r="C113" s="108" t="s">
        <v>2</v>
      </c>
    </row>
    <row r="114" spans="1:3" x14ac:dyDescent="0.25">
      <c r="A114" s="106" t="s">
        <v>13</v>
      </c>
      <c r="B114" s="6">
        <f>691+114+3334+17582+1659+148+499+1237+7909+53</f>
        <v>33226</v>
      </c>
      <c r="C114" s="5">
        <f>B114/B142</f>
        <v>0.68837922390038742</v>
      </c>
    </row>
    <row r="115" spans="1:3" x14ac:dyDescent="0.25">
      <c r="A115" s="42" t="s">
        <v>184</v>
      </c>
      <c r="B115" s="6">
        <f>1944+175+51+57+921</f>
        <v>3148</v>
      </c>
      <c r="C115" s="5">
        <f>B115/B142</f>
        <v>6.5220544057016175E-2</v>
      </c>
    </row>
    <row r="116" spans="1:3" x14ac:dyDescent="0.25">
      <c r="A116" s="42" t="s">
        <v>14</v>
      </c>
      <c r="B116" s="6">
        <f>549+108+925+54+22+424+490+222+214+36</f>
        <v>3044</v>
      </c>
      <c r="C116" s="5">
        <f>B116/B142</f>
        <v>6.3065862804814882E-2</v>
      </c>
    </row>
    <row r="117" spans="1:3" x14ac:dyDescent="0.25">
      <c r="A117" s="42" t="s">
        <v>18</v>
      </c>
      <c r="B117" s="6">
        <f>27+138+23+75+215+873+18</f>
        <v>1369</v>
      </c>
      <c r="C117" s="5">
        <f>B117/B142</f>
        <v>2.8363063790995919E-2</v>
      </c>
    </row>
    <row r="118" spans="1:3" x14ac:dyDescent="0.25">
      <c r="A118" s="42" t="s">
        <v>17</v>
      </c>
      <c r="B118" s="6">
        <f>59+400+89+109+22+80+145+5</f>
        <v>909</v>
      </c>
      <c r="C118" s="5">
        <f>B118/B142</f>
        <v>1.8832742867797875E-2</v>
      </c>
    </row>
    <row r="119" spans="1:3" x14ac:dyDescent="0.25">
      <c r="A119" s="42" t="s">
        <v>19</v>
      </c>
      <c r="B119" s="6">
        <f>53+171+113+77+201+107+21</f>
        <v>743</v>
      </c>
      <c r="C119" s="5">
        <f>B119/B142</f>
        <v>1.5393540099861189E-2</v>
      </c>
    </row>
    <row r="120" spans="1:3" x14ac:dyDescent="0.25">
      <c r="A120" s="42" t="s">
        <v>20</v>
      </c>
      <c r="B120" s="6">
        <f>69+165+99+240+88</f>
        <v>661</v>
      </c>
      <c r="C120" s="5">
        <f>B120/B142</f>
        <v>1.369465680485632E-2</v>
      </c>
    </row>
    <row r="121" spans="1:3" x14ac:dyDescent="0.25">
      <c r="A121" s="42" t="s">
        <v>172</v>
      </c>
      <c r="B121" s="6">
        <f>57+23+80+145+125+70+52</f>
        <v>552</v>
      </c>
      <c r="C121" s="5">
        <f>B121/B142</f>
        <v>1.1436385107837652E-2</v>
      </c>
    </row>
    <row r="122" spans="1:3" x14ac:dyDescent="0.25">
      <c r="A122" s="42" t="s">
        <v>26</v>
      </c>
      <c r="B122" s="6">
        <f>137+52+168+91</f>
        <v>448</v>
      </c>
      <c r="C122" s="5">
        <f>B122/B142</f>
        <v>9.2817038556363557E-3</v>
      </c>
    </row>
    <row r="123" spans="1:3" x14ac:dyDescent="0.25">
      <c r="A123" s="42" t="s">
        <v>24</v>
      </c>
      <c r="B123" s="6">
        <f>20+110+55+248</f>
        <v>433</v>
      </c>
      <c r="C123" s="5">
        <f>B123/B142</f>
        <v>8.970932521184246E-3</v>
      </c>
    </row>
    <row r="124" spans="1:3" x14ac:dyDescent="0.25">
      <c r="A124" s="42" t="s">
        <v>23</v>
      </c>
      <c r="B124" s="6">
        <f>40+235+39+37</f>
        <v>351</v>
      </c>
      <c r="C124" s="5">
        <f>B124/B142</f>
        <v>7.2720492261793774E-3</v>
      </c>
    </row>
    <row r="125" spans="1:3" x14ac:dyDescent="0.25">
      <c r="A125" s="42" t="s">
        <v>16</v>
      </c>
      <c r="B125" s="6">
        <f>198+69</f>
        <v>267</v>
      </c>
      <c r="C125" s="5">
        <f>B125/B142</f>
        <v>5.5317297532475607E-3</v>
      </c>
    </row>
    <row r="126" spans="1:3" ht="20.100000000000001" customHeight="1" x14ac:dyDescent="0.25">
      <c r="A126" s="42" t="s">
        <v>108</v>
      </c>
      <c r="B126" s="6">
        <v>223</v>
      </c>
      <c r="C126" s="5">
        <f>B126/B142</f>
        <v>4.6201338388547038E-3</v>
      </c>
    </row>
    <row r="127" spans="1:3" x14ac:dyDescent="0.25">
      <c r="A127" s="42" t="s">
        <v>126</v>
      </c>
      <c r="B127" s="6">
        <v>174</v>
      </c>
      <c r="C127" s="5">
        <f>B127/B142</f>
        <v>3.6049474796444776E-3</v>
      </c>
    </row>
    <row r="128" spans="1:3" x14ac:dyDescent="0.25">
      <c r="A128" s="42" t="s">
        <v>110</v>
      </c>
      <c r="B128" s="6">
        <f>65+39+57</f>
        <v>161</v>
      </c>
      <c r="C128" s="5">
        <f>B128/B142</f>
        <v>3.3356123231193155E-3</v>
      </c>
    </row>
    <row r="129" spans="1:3" x14ac:dyDescent="0.25">
      <c r="A129" s="42" t="s">
        <v>28</v>
      </c>
      <c r="B129" s="6">
        <v>142</v>
      </c>
      <c r="C129" s="5">
        <f>B129/B142</f>
        <v>2.9419686328133092E-3</v>
      </c>
    </row>
    <row r="130" spans="1:3" x14ac:dyDescent="0.25">
      <c r="A130" s="42" t="s">
        <v>107</v>
      </c>
      <c r="B130" s="6">
        <v>101</v>
      </c>
      <c r="C130" s="5">
        <f>B130/B142</f>
        <v>2.0925269853108749E-3</v>
      </c>
    </row>
    <row r="131" spans="1:3" x14ac:dyDescent="0.25">
      <c r="A131" s="42" t="s">
        <v>103</v>
      </c>
      <c r="B131" s="6">
        <v>82</v>
      </c>
      <c r="C131" s="5">
        <f>B131/B142</f>
        <v>1.6988832950048688E-3</v>
      </c>
    </row>
    <row r="132" spans="1:3" x14ac:dyDescent="0.25">
      <c r="A132" s="42" t="s">
        <v>123</v>
      </c>
      <c r="B132" s="6">
        <f>65+16</f>
        <v>81</v>
      </c>
      <c r="C132" s="5">
        <f>B132/B142</f>
        <v>1.6781652060413948E-3</v>
      </c>
    </row>
    <row r="133" spans="1:3" x14ac:dyDescent="0.25">
      <c r="A133" s="42" t="s">
        <v>86</v>
      </c>
      <c r="B133" s="6">
        <v>75</v>
      </c>
      <c r="C133" s="5">
        <f>B133/B142</f>
        <v>1.5538566722605508E-3</v>
      </c>
    </row>
    <row r="134" spans="1:3" x14ac:dyDescent="0.25">
      <c r="A134" s="42" t="s">
        <v>63</v>
      </c>
      <c r="B134" s="6">
        <f>27+12+34</f>
        <v>73</v>
      </c>
      <c r="C134" s="5">
        <f>B134/B142</f>
        <v>1.5124204943336027E-3</v>
      </c>
    </row>
    <row r="135" spans="1:3" x14ac:dyDescent="0.25">
      <c r="A135" s="42" t="s">
        <v>195</v>
      </c>
      <c r="B135" s="6">
        <v>68</v>
      </c>
      <c r="C135" s="5">
        <f>B135/B142</f>
        <v>1.4088300495162327E-3</v>
      </c>
    </row>
    <row r="136" spans="1:3" x14ac:dyDescent="0.25">
      <c r="A136" s="42" t="s">
        <v>254</v>
      </c>
      <c r="B136" s="6">
        <v>61</v>
      </c>
      <c r="C136" s="5">
        <f>B136/B142</f>
        <v>1.2638034267719147E-3</v>
      </c>
    </row>
    <row r="137" spans="1:3" x14ac:dyDescent="0.25">
      <c r="A137" s="42" t="s">
        <v>30</v>
      </c>
      <c r="B137" s="6">
        <v>56</v>
      </c>
      <c r="C137" s="5">
        <f>B137/B142</f>
        <v>1.1602129819545445E-3</v>
      </c>
    </row>
    <row r="138" spans="1:3" x14ac:dyDescent="0.25">
      <c r="A138" s="42" t="s">
        <v>29</v>
      </c>
      <c r="B138" s="6">
        <v>49</v>
      </c>
      <c r="C138" s="5">
        <f>B138/B142</f>
        <v>1.0151863592102264E-3</v>
      </c>
    </row>
    <row r="139" spans="1:3" x14ac:dyDescent="0.25">
      <c r="A139" s="42" t="s">
        <v>128</v>
      </c>
      <c r="B139" s="6">
        <v>41</v>
      </c>
      <c r="C139" s="5">
        <f>B139/B142</f>
        <v>8.4944164750243442E-4</v>
      </c>
    </row>
    <row r="140" spans="1:3" x14ac:dyDescent="0.25">
      <c r="A140" s="42" t="s">
        <v>130</v>
      </c>
      <c r="B140" s="6">
        <v>19</v>
      </c>
      <c r="C140" s="5">
        <f>B140/B142</f>
        <v>3.9364369030600615E-4</v>
      </c>
    </row>
    <row r="141" spans="1:3" x14ac:dyDescent="0.25">
      <c r="A141" s="13" t="s">
        <v>33</v>
      </c>
      <c r="B141" s="14">
        <f>51+30+606+160+105+94+664</f>
        <v>1710</v>
      </c>
      <c r="C141" s="15">
        <f>B141/B142</f>
        <v>3.5427932127540557E-2</v>
      </c>
    </row>
    <row r="142" spans="1:3" ht="15.75" thickBot="1" x14ac:dyDescent="0.3">
      <c r="A142" s="134" t="s">
        <v>5</v>
      </c>
      <c r="B142" s="133">
        <f>SUM(B114:B141)</f>
        <v>48267</v>
      </c>
      <c r="C142" s="45"/>
    </row>
    <row r="158" spans="1:1" x14ac:dyDescent="0.25">
      <c r="A158" s="54" t="s">
        <v>164</v>
      </c>
    </row>
    <row r="159" spans="1:1" x14ac:dyDescent="0.25">
      <c r="A159" s="40" t="s">
        <v>142</v>
      </c>
    </row>
  </sheetData>
  <mergeCells count="24">
    <mergeCell ref="A112:C112"/>
    <mergeCell ref="A53:C53"/>
    <mergeCell ref="I5:J5"/>
    <mergeCell ref="A12:C12"/>
    <mergeCell ref="E21:G21"/>
    <mergeCell ref="A64:C64"/>
    <mergeCell ref="A75:C75"/>
    <mergeCell ref="A41:C41"/>
    <mergeCell ref="A47:C47"/>
    <mergeCell ref="A24:C24"/>
    <mergeCell ref="E24:G24"/>
    <mergeCell ref="E34:G34"/>
    <mergeCell ref="A35:C35"/>
    <mergeCell ref="E40:G40"/>
    <mergeCell ref="A5:C5"/>
    <mergeCell ref="E12:G12"/>
    <mergeCell ref="E77:G77"/>
    <mergeCell ref="E5:G5"/>
    <mergeCell ref="E4:G4"/>
    <mergeCell ref="A1:F1"/>
    <mergeCell ref="A2:C2"/>
    <mergeCell ref="E2:G2"/>
    <mergeCell ref="A3:C3"/>
    <mergeCell ref="E3:G3"/>
  </mergeCells>
  <printOptions gridLines="1"/>
  <pageMargins left="0.25" right="0.25" top="0.25" bottom="0.25" header="0.3" footer="0.3"/>
  <pageSetup scale="71" fitToHeight="0"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workbookViewId="0">
      <selection activeCell="A2" sqref="A2"/>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71" t="s">
        <v>43</v>
      </c>
      <c r="B1" s="171"/>
      <c r="C1" s="171"/>
      <c r="D1" s="171"/>
      <c r="E1" s="171"/>
      <c r="F1" s="171"/>
    </row>
    <row r="2" spans="1:11" s="40" customFormat="1" ht="21" x14ac:dyDescent="0.35">
      <c r="A2" s="50" t="s">
        <v>135</v>
      </c>
      <c r="F2" s="46"/>
    </row>
    <row r="3" spans="1:11" s="40" customFormat="1" ht="39" customHeight="1" x14ac:dyDescent="0.35">
      <c r="A3" s="40" t="s">
        <v>136</v>
      </c>
      <c r="F3" s="46"/>
    </row>
    <row r="4" spans="1:11" ht="15.75" thickBot="1" x14ac:dyDescent="0.3"/>
    <row r="5" spans="1:11" ht="18" thickBot="1" x14ac:dyDescent="0.35">
      <c r="A5" s="158" t="s">
        <v>34</v>
      </c>
      <c r="B5" s="159"/>
      <c r="C5" s="160"/>
      <c r="E5" s="40"/>
      <c r="F5" s="40"/>
      <c r="G5" s="40"/>
    </row>
    <row r="6" spans="1:11" x14ac:dyDescent="0.25">
      <c r="A6" s="12" t="s">
        <v>0</v>
      </c>
      <c r="B6" s="4" t="s">
        <v>1</v>
      </c>
      <c r="C6" s="11" t="s">
        <v>2</v>
      </c>
      <c r="E6" s="40"/>
      <c r="F6" s="40"/>
      <c r="G6" s="40"/>
    </row>
    <row r="7" spans="1:11" x14ac:dyDescent="0.25">
      <c r="A7" s="9" t="s">
        <v>3</v>
      </c>
      <c r="B7" s="6">
        <v>5602454</v>
      </c>
      <c r="C7" s="5">
        <f>B7/$B$9</f>
        <v>0.9116641078026233</v>
      </c>
      <c r="E7" s="40"/>
      <c r="F7" s="40"/>
      <c r="G7" s="40"/>
    </row>
    <row r="8" spans="1:11" x14ac:dyDescent="0.25">
      <c r="A8" s="13" t="s">
        <v>167</v>
      </c>
      <c r="B8" s="14">
        <v>542851</v>
      </c>
      <c r="C8" s="15">
        <f>B8/$B$9</f>
        <v>8.8335892197376698E-2</v>
      </c>
      <c r="E8" s="40"/>
      <c r="F8" s="40"/>
      <c r="G8" s="40"/>
    </row>
    <row r="9" spans="1:11" ht="15.75" thickBot="1" x14ac:dyDescent="0.3">
      <c r="A9" s="10" t="s">
        <v>5</v>
      </c>
      <c r="B9" s="3">
        <f>SUM(B7:B8)</f>
        <v>6145305</v>
      </c>
      <c r="C9" s="2"/>
      <c r="E9" s="40"/>
      <c r="F9" s="40"/>
      <c r="G9" s="40"/>
    </row>
    <row r="10" spans="1:11" x14ac:dyDescent="0.25">
      <c r="A10" s="40" t="s">
        <v>134</v>
      </c>
    </row>
    <row r="11" spans="1:11" s="40" customFormat="1" ht="15.75" thickBot="1" x14ac:dyDescent="0.3">
      <c r="E11"/>
      <c r="F11"/>
      <c r="G11"/>
    </row>
    <row r="12" spans="1:11" ht="18" thickBot="1" x14ac:dyDescent="0.35">
      <c r="A12" s="158" t="s">
        <v>35</v>
      </c>
      <c r="B12" s="159"/>
      <c r="C12" s="160"/>
      <c r="E12" s="183" t="s">
        <v>149</v>
      </c>
      <c r="F12" s="184"/>
      <c r="G12" s="185"/>
      <c r="H12" s="1"/>
      <c r="I12" s="1"/>
      <c r="J12" s="1"/>
      <c r="K12" s="47"/>
    </row>
    <row r="13" spans="1:11" x14ac:dyDescent="0.25">
      <c r="A13" s="12" t="s">
        <v>6</v>
      </c>
      <c r="B13" s="4" t="s">
        <v>7</v>
      </c>
      <c r="C13" s="11" t="s">
        <v>2</v>
      </c>
      <c r="E13" s="12" t="s">
        <v>0</v>
      </c>
      <c r="F13" s="4" t="s">
        <v>1</v>
      </c>
      <c r="G13" s="11" t="s">
        <v>2</v>
      </c>
      <c r="H13" s="1"/>
      <c r="I13" s="1"/>
      <c r="J13" s="1"/>
      <c r="K13" s="47"/>
    </row>
    <row r="14" spans="1:11" x14ac:dyDescent="0.25">
      <c r="A14" s="9" t="s">
        <v>36</v>
      </c>
      <c r="B14" s="6">
        <v>628980</v>
      </c>
      <c r="C14" s="5">
        <f>B14/$B$21</f>
        <v>0.10235130721746113</v>
      </c>
      <c r="E14" s="42" t="s">
        <v>3</v>
      </c>
      <c r="F14" s="6">
        <v>510087</v>
      </c>
      <c r="G14" s="5">
        <v>0.81100000000000005</v>
      </c>
      <c r="H14" s="1"/>
      <c r="I14" s="1"/>
      <c r="J14" s="1"/>
      <c r="K14" s="47"/>
    </row>
    <row r="15" spans="1:11" s="1" customFormat="1" x14ac:dyDescent="0.25">
      <c r="A15" s="9" t="s">
        <v>37</v>
      </c>
      <c r="B15" s="6">
        <v>761062</v>
      </c>
      <c r="C15" s="5">
        <f t="shared" ref="C15:C20" si="0">B15/$B$21</f>
        <v>0.12384446337488537</v>
      </c>
      <c r="E15" s="13" t="s">
        <v>167</v>
      </c>
      <c r="F15" s="14">
        <v>118893</v>
      </c>
      <c r="G15" s="15">
        <v>0.189</v>
      </c>
      <c r="K15" s="47"/>
    </row>
    <row r="16" spans="1:11" s="1" customFormat="1" ht="15.75" thickBot="1" x14ac:dyDescent="0.3">
      <c r="A16" s="9" t="s">
        <v>38</v>
      </c>
      <c r="B16" s="6">
        <v>794965</v>
      </c>
      <c r="C16" s="5">
        <f t="shared" si="0"/>
        <v>0.12936135797979106</v>
      </c>
      <c r="E16" s="43" t="s">
        <v>5</v>
      </c>
      <c r="F16" s="3">
        <v>628980</v>
      </c>
      <c r="G16" s="48"/>
      <c r="H16"/>
      <c r="I16"/>
      <c r="J16"/>
      <c r="K16" s="47"/>
    </row>
    <row r="17" spans="1:11" s="1" customFormat="1" ht="15.75" thickBot="1" x14ac:dyDescent="0.3">
      <c r="A17" s="9" t="s">
        <v>39</v>
      </c>
      <c r="B17" s="6">
        <v>791653</v>
      </c>
      <c r="C17" s="5">
        <f t="shared" si="0"/>
        <v>0.12882240995361499</v>
      </c>
      <c r="E17" s="40"/>
      <c r="F17" s="40"/>
      <c r="G17" s="40"/>
      <c r="H17"/>
      <c r="I17"/>
      <c r="J17"/>
    </row>
    <row r="18" spans="1:11" s="1" customFormat="1" ht="18" customHeight="1" thickBot="1" x14ac:dyDescent="0.35">
      <c r="A18" s="9" t="s">
        <v>40</v>
      </c>
      <c r="B18" s="6">
        <v>709294</v>
      </c>
      <c r="C18" s="5">
        <f t="shared" si="0"/>
        <v>0.11542047140052447</v>
      </c>
      <c r="E18" s="183" t="s">
        <v>157</v>
      </c>
      <c r="F18" s="184"/>
      <c r="G18" s="185"/>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42" t="s">
        <v>3</v>
      </c>
      <c r="F20" s="6">
        <v>632054</v>
      </c>
      <c r="G20" s="5">
        <v>0.83</v>
      </c>
      <c r="H20"/>
      <c r="I20"/>
      <c r="J20"/>
    </row>
    <row r="21" spans="1:11" ht="15.75" thickBot="1" x14ac:dyDescent="0.3">
      <c r="A21" s="10" t="s">
        <v>5</v>
      </c>
      <c r="B21" s="3">
        <f>SUM(B14:B20)</f>
        <v>6145305</v>
      </c>
      <c r="C21" s="2"/>
      <c r="E21" s="13" t="s">
        <v>167</v>
      </c>
      <c r="F21" s="14">
        <v>129008</v>
      </c>
      <c r="G21" s="15">
        <v>0.17</v>
      </c>
    </row>
    <row r="22" spans="1:11" ht="15.75" thickBot="1" x14ac:dyDescent="0.3">
      <c r="A22" s="40" t="s">
        <v>134</v>
      </c>
      <c r="E22" s="43" t="s">
        <v>5</v>
      </c>
      <c r="F22" s="3">
        <v>761062</v>
      </c>
      <c r="G22" s="2"/>
    </row>
    <row r="23" spans="1:11" s="40" customFormat="1" ht="15.75" thickBot="1" x14ac:dyDescent="0.3">
      <c r="E23"/>
      <c r="F23"/>
      <c r="G23"/>
    </row>
    <row r="24" spans="1:11" ht="18" thickBot="1" x14ac:dyDescent="0.35">
      <c r="A24" s="158" t="s">
        <v>10</v>
      </c>
      <c r="B24" s="159"/>
      <c r="C24" s="160"/>
    </row>
    <row r="25" spans="1:11" x14ac:dyDescent="0.25">
      <c r="A25" s="12" t="s">
        <v>6</v>
      </c>
      <c r="B25" s="4" t="s">
        <v>7</v>
      </c>
      <c r="C25" s="11" t="s">
        <v>2</v>
      </c>
      <c r="K25" s="47"/>
    </row>
    <row r="26" spans="1:11" x14ac:dyDescent="0.25">
      <c r="A26" s="9" t="s">
        <v>36</v>
      </c>
      <c r="B26" s="6">
        <v>118893</v>
      </c>
      <c r="C26" s="5">
        <f>B26/$B$33</f>
        <v>0.21901589939044047</v>
      </c>
      <c r="E26" s="40"/>
      <c r="F26" s="40"/>
      <c r="G26" s="40"/>
      <c r="K26" s="47"/>
    </row>
    <row r="27" spans="1:11" x14ac:dyDescent="0.25">
      <c r="A27" s="9" t="s">
        <v>37</v>
      </c>
      <c r="B27" s="6">
        <v>129008</v>
      </c>
      <c r="C27" s="5">
        <f t="shared" ref="C27:C32" si="1">B27/$B$33</f>
        <v>0.23764900497558261</v>
      </c>
      <c r="K27" s="47"/>
    </row>
    <row r="28" spans="1:11" x14ac:dyDescent="0.25">
      <c r="A28" s="9" t="s">
        <v>38</v>
      </c>
      <c r="B28" s="6">
        <v>96915</v>
      </c>
      <c r="C28" s="5">
        <f t="shared" si="1"/>
        <v>0.17852965178290175</v>
      </c>
      <c r="K28" s="47"/>
    </row>
    <row r="29" spans="1:11" x14ac:dyDescent="0.25">
      <c r="A29" s="9" t="s">
        <v>39</v>
      </c>
      <c r="B29" s="6">
        <v>66437</v>
      </c>
      <c r="C29" s="5">
        <f t="shared" si="1"/>
        <v>0.12238533225507552</v>
      </c>
      <c r="K29" s="47"/>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54" t="s">
        <v>41</v>
      </c>
      <c r="B35" s="155"/>
      <c r="C35" s="156"/>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58" t="s">
        <v>11</v>
      </c>
      <c r="B41" s="159"/>
      <c r="C41" s="160"/>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54" t="s">
        <v>42</v>
      </c>
      <c r="B66" s="155"/>
      <c r="C66" s="156"/>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126</v>
      </c>
      <c r="B85" s="6">
        <v>1269</v>
      </c>
      <c r="C85" s="5">
        <f t="shared" si="3"/>
        <v>5.1189789472410353E-3</v>
      </c>
    </row>
    <row r="86" spans="1:3" x14ac:dyDescent="0.25">
      <c r="A86" s="9" t="s">
        <v>110</v>
      </c>
      <c r="B86" s="6">
        <v>889</v>
      </c>
      <c r="C86" s="5">
        <f t="shared" si="3"/>
        <v>3.586108970919843E-3</v>
      </c>
    </row>
    <row r="87" spans="1:3" x14ac:dyDescent="0.25">
      <c r="A87" s="9" t="s">
        <v>125</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58" t="s">
        <v>44</v>
      </c>
      <c r="B91" s="159"/>
      <c r="C91" s="160"/>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54" t="s">
        <v>53</v>
      </c>
      <c r="B102" s="155"/>
      <c r="C102" s="156"/>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40" customFormat="1" x14ac:dyDescent="0.25">
      <c r="A112" s="49"/>
      <c r="B112" s="6"/>
      <c r="C112" s="49"/>
    </row>
    <row r="113" spans="1:32" s="40" customFormat="1" x14ac:dyDescent="0.25">
      <c r="A113" s="51" t="s">
        <v>137</v>
      </c>
      <c r="B113" s="52"/>
      <c r="C113" s="53"/>
      <c r="E113"/>
      <c r="F113"/>
      <c r="G113"/>
    </row>
    <row r="114" spans="1:32" s="40" customFormat="1" x14ac:dyDescent="0.25">
      <c r="A114" s="54" t="s">
        <v>138</v>
      </c>
      <c r="B114" s="52"/>
      <c r="C114" s="53"/>
      <c r="E114"/>
      <c r="F114"/>
      <c r="G114"/>
    </row>
    <row r="115" spans="1:32" s="40" customFormat="1" x14ac:dyDescent="0.25">
      <c r="A115" s="54" t="s">
        <v>139</v>
      </c>
      <c r="B115" s="52"/>
      <c r="C115" s="53"/>
      <c r="E115"/>
      <c r="F115"/>
      <c r="G115"/>
    </row>
    <row r="116" spans="1:32" ht="15.75" thickBot="1" x14ac:dyDescent="0.3">
      <c r="A116" s="40"/>
      <c r="B116" s="40"/>
      <c r="C116" s="40"/>
      <c r="D116" s="40"/>
      <c r="H116" s="40"/>
      <c r="I116" s="40"/>
      <c r="J116" s="40"/>
      <c r="K116" s="40"/>
    </row>
    <row r="117" spans="1:32" ht="18" thickBot="1" x14ac:dyDescent="0.35">
      <c r="A117" s="158" t="s">
        <v>132</v>
      </c>
      <c r="B117" s="159"/>
      <c r="C117" s="160"/>
      <c r="D117" s="40"/>
      <c r="H117" s="40"/>
      <c r="I117" s="40"/>
      <c r="J117" s="40"/>
      <c r="K117" s="40"/>
    </row>
    <row r="118" spans="1:32" x14ac:dyDescent="0.25">
      <c r="A118" s="12" t="s">
        <v>54</v>
      </c>
      <c r="B118" s="4" t="s">
        <v>1</v>
      </c>
      <c r="C118" s="11" t="s">
        <v>2</v>
      </c>
      <c r="D118" s="40"/>
      <c r="E118" s="40"/>
      <c r="F118" s="40"/>
      <c r="G118" s="40"/>
      <c r="H118" s="40"/>
      <c r="I118" s="40"/>
      <c r="J118" s="51"/>
      <c r="K118" s="52"/>
      <c r="L118" s="53"/>
      <c r="M118" s="40"/>
      <c r="N118" s="40"/>
      <c r="O118" s="40"/>
      <c r="P118" s="40"/>
      <c r="Q118" s="40"/>
      <c r="R118" s="40"/>
      <c r="S118" s="40"/>
      <c r="T118" s="40"/>
      <c r="U118" s="40"/>
      <c r="V118" s="40"/>
      <c r="W118" s="40"/>
      <c r="X118" s="40"/>
      <c r="Y118" s="40"/>
      <c r="Z118" s="40"/>
      <c r="AA118" s="40"/>
      <c r="AB118" s="40"/>
      <c r="AC118" s="40"/>
      <c r="AD118" s="40"/>
      <c r="AE118" s="40"/>
      <c r="AF118" s="40"/>
    </row>
    <row r="119" spans="1:32" x14ac:dyDescent="0.25">
      <c r="A119" s="9" t="s">
        <v>55</v>
      </c>
      <c r="B119" s="6">
        <v>2377148</v>
      </c>
      <c r="C119" s="5">
        <f>B119/$B$121</f>
        <v>0.94241329207641122</v>
      </c>
      <c r="E119" s="40"/>
      <c r="F119" s="40"/>
      <c r="G119" s="40"/>
      <c r="J119" s="54"/>
      <c r="K119" s="52"/>
      <c r="L119" s="53"/>
      <c r="M119" s="40"/>
      <c r="N119" s="40"/>
      <c r="O119" s="40"/>
      <c r="P119" s="40"/>
      <c r="Q119" s="40"/>
      <c r="R119" s="40"/>
      <c r="S119" s="40"/>
      <c r="T119" s="40"/>
      <c r="U119" s="40"/>
      <c r="V119" s="40"/>
      <c r="W119" s="40"/>
      <c r="X119" s="40"/>
      <c r="Y119" s="40"/>
      <c r="Z119" s="40"/>
      <c r="AA119" s="40"/>
      <c r="AB119" s="40"/>
      <c r="AC119" s="40"/>
      <c r="AD119" s="40"/>
      <c r="AE119" s="40"/>
      <c r="AF119" s="40"/>
    </row>
    <row r="120" spans="1:32" x14ac:dyDescent="0.25">
      <c r="A120" s="13" t="s">
        <v>58</v>
      </c>
      <c r="B120" s="14">
        <v>145257</v>
      </c>
      <c r="C120" s="15">
        <f>B120/$B$121</f>
        <v>5.7586707923588797E-2</v>
      </c>
      <c r="E120" s="40"/>
      <c r="F120" s="40"/>
      <c r="G120" s="40"/>
      <c r="J120" s="54"/>
      <c r="K120" s="52"/>
      <c r="L120" s="53"/>
      <c r="M120" s="40"/>
      <c r="N120" s="40"/>
      <c r="O120" s="40"/>
      <c r="P120" s="40"/>
      <c r="Q120" s="40"/>
      <c r="R120" s="40"/>
      <c r="S120" s="40"/>
      <c r="T120" s="40"/>
      <c r="U120" s="40"/>
      <c r="V120" s="40"/>
      <c r="W120" s="40"/>
      <c r="X120" s="40"/>
      <c r="Y120" s="40"/>
      <c r="Z120" s="40"/>
      <c r="AA120" s="40"/>
      <c r="AB120" s="40"/>
      <c r="AC120" s="40"/>
      <c r="AD120" s="40"/>
      <c r="AE120" s="40"/>
      <c r="AF120" s="40"/>
    </row>
    <row r="121" spans="1:32" ht="15.75" thickBot="1" x14ac:dyDescent="0.3">
      <c r="A121" s="10" t="s">
        <v>5</v>
      </c>
      <c r="B121" s="3">
        <f>SUM(B119:B120)</f>
        <v>2522405</v>
      </c>
      <c r="C121" s="2"/>
      <c r="E121" s="40"/>
      <c r="F121" s="40"/>
      <c r="G121" s="40"/>
      <c r="J121" s="40"/>
      <c r="K121" s="40"/>
    </row>
    <row r="122" spans="1:32" ht="15.75" thickBot="1" x14ac:dyDescent="0.3">
      <c r="E122" s="40"/>
      <c r="F122" s="40"/>
      <c r="G122" s="40"/>
    </row>
    <row r="123" spans="1:32" ht="34.5" customHeight="1" thickBot="1" x14ac:dyDescent="0.35">
      <c r="A123" s="154" t="s">
        <v>56</v>
      </c>
      <c r="B123" s="155"/>
      <c r="C123" s="156"/>
      <c r="E123" s="40"/>
      <c r="F123" s="40"/>
      <c r="G123" s="40"/>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55" t="s">
        <v>140</v>
      </c>
      <c r="B132" s="40"/>
      <c r="C132" s="40"/>
      <c r="D132" s="40"/>
      <c r="H132" s="40"/>
      <c r="I132" s="40"/>
      <c r="J132" s="40"/>
      <c r="K132" s="40"/>
      <c r="L132" s="40"/>
      <c r="M132" s="40"/>
      <c r="N132" s="40"/>
    </row>
    <row r="133" spans="1:14" ht="15.75" thickBot="1" x14ac:dyDescent="0.3"/>
    <row r="134" spans="1:14" ht="18" thickBot="1" x14ac:dyDescent="0.35">
      <c r="A134" s="154" t="s">
        <v>57</v>
      </c>
      <c r="B134" s="155"/>
      <c r="C134" s="156"/>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40"/>
      <c r="F137" s="40"/>
      <c r="G137" s="40"/>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54" t="s">
        <v>59</v>
      </c>
      <c r="B144" s="155"/>
      <c r="C144" s="156"/>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54" t="s">
        <v>60</v>
      </c>
      <c r="B150" s="155"/>
      <c r="C150" s="156"/>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133</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56" t="s">
        <v>141</v>
      </c>
      <c r="B174" s="40"/>
      <c r="C174" s="40"/>
    </row>
    <row r="175" spans="1:7" s="40" customFormat="1" ht="15.75" thickBot="1" x14ac:dyDescent="0.3">
      <c r="A175" s="57"/>
      <c r="E175"/>
      <c r="F175"/>
      <c r="G175"/>
    </row>
    <row r="176" spans="1:7" ht="36" customHeight="1" thickBot="1" x14ac:dyDescent="0.35">
      <c r="A176" s="154" t="s">
        <v>61</v>
      </c>
      <c r="B176" s="155"/>
      <c r="C176" s="156"/>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40"/>
      <c r="F180" s="40"/>
      <c r="G180" s="40"/>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133</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129</v>
      </c>
      <c r="B195" s="6">
        <v>242</v>
      </c>
      <c r="C195" s="5">
        <f t="shared" si="9"/>
        <v>5.1015030461454142E-3</v>
      </c>
    </row>
    <row r="196" spans="1:3" x14ac:dyDescent="0.25">
      <c r="A196" s="9" t="s">
        <v>124</v>
      </c>
      <c r="B196" s="6">
        <v>223</v>
      </c>
      <c r="C196" s="5">
        <f t="shared" si="9"/>
        <v>4.7009718152496993E-3</v>
      </c>
    </row>
    <row r="197" spans="1:3" x14ac:dyDescent="0.25">
      <c r="A197" s="9" t="s">
        <v>127</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58" t="s">
        <v>141</v>
      </c>
      <c r="B200" s="40"/>
      <c r="C200" s="40"/>
    </row>
    <row r="202" spans="1:3" x14ac:dyDescent="0.25">
      <c r="A202" s="40" t="s">
        <v>142</v>
      </c>
    </row>
  </sheetData>
  <mergeCells count="17">
    <mergeCell ref="A123:C123"/>
    <mergeCell ref="A134:C134"/>
    <mergeCell ref="A144:C144"/>
    <mergeCell ref="A150:C150"/>
    <mergeCell ref="A176:C176"/>
    <mergeCell ref="A66:C66"/>
    <mergeCell ref="A1:F1"/>
    <mergeCell ref="A91:C91"/>
    <mergeCell ref="A102:C102"/>
    <mergeCell ref="A117:C117"/>
    <mergeCell ref="A12:C12"/>
    <mergeCell ref="A5:C5"/>
    <mergeCell ref="A24:C24"/>
    <mergeCell ref="A35:C35"/>
    <mergeCell ref="A41:C41"/>
    <mergeCell ref="E12:G12"/>
    <mergeCell ref="E18:G18"/>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7"/>
  <sheetViews>
    <sheetView topLeftCell="A88" workbookViewId="0">
      <selection activeCell="A64" sqref="A64"/>
    </sheetView>
  </sheetViews>
  <sheetFormatPr defaultColWidth="8.85546875" defaultRowHeight="15" x14ac:dyDescent="0.25"/>
  <cols>
    <col min="1" max="1" width="26.7109375" style="21" customWidth="1"/>
    <col min="2" max="2" width="10.7109375" style="21" bestFit="1" customWidth="1"/>
    <col min="3" max="3" width="7.85546875" style="21" customWidth="1"/>
    <col min="4" max="4" width="8.85546875" style="21"/>
    <col min="5" max="5" width="32.140625" style="21" customWidth="1"/>
    <col min="6" max="6" width="14.7109375" style="21" customWidth="1"/>
    <col min="7" max="7" width="20.85546875" style="21" customWidth="1"/>
    <col min="8" max="8" width="8.85546875" style="21"/>
    <col min="9" max="9" width="28.140625" style="21" bestFit="1" customWidth="1"/>
    <col min="10" max="16384" width="8.85546875" style="21"/>
  </cols>
  <sheetData>
    <row r="1" spans="1:15" ht="21" x14ac:dyDescent="0.35">
      <c r="A1" s="171" t="s">
        <v>104</v>
      </c>
      <c r="B1" s="171"/>
      <c r="C1" s="171"/>
      <c r="D1" s="171"/>
      <c r="E1" s="171"/>
      <c r="F1" s="171"/>
    </row>
    <row r="2" spans="1:15" ht="21" x14ac:dyDescent="0.35">
      <c r="A2" s="50" t="s">
        <v>135</v>
      </c>
      <c r="B2" s="50"/>
      <c r="C2" s="40"/>
      <c r="D2" s="40"/>
      <c r="E2" s="40"/>
      <c r="F2" s="66"/>
      <c r="G2" s="40"/>
      <c r="H2" s="40"/>
      <c r="I2" s="40"/>
      <c r="J2" s="40"/>
      <c r="K2" s="40"/>
      <c r="L2" s="40"/>
      <c r="M2" s="40"/>
      <c r="N2" s="40"/>
      <c r="O2" s="40"/>
    </row>
    <row r="3" spans="1:15" ht="21" x14ac:dyDescent="0.35">
      <c r="A3" s="40" t="s">
        <v>136</v>
      </c>
      <c r="B3" s="40"/>
      <c r="C3" s="40"/>
      <c r="D3" s="40"/>
      <c r="E3" s="40"/>
      <c r="F3" s="66"/>
      <c r="G3" s="40"/>
      <c r="H3" s="40"/>
      <c r="I3" s="40"/>
      <c r="J3" s="40"/>
      <c r="K3" s="40"/>
      <c r="L3" s="40"/>
      <c r="M3" s="40"/>
      <c r="N3" s="40"/>
      <c r="O3" s="40"/>
    </row>
    <row r="4" spans="1:15" ht="15.75" thickBot="1" x14ac:dyDescent="0.3">
      <c r="J4" s="40"/>
      <c r="L4" s="40"/>
      <c r="M4" s="40"/>
      <c r="N4" s="40"/>
      <c r="O4" s="40"/>
    </row>
    <row r="5" spans="1:15" ht="18" thickBot="1" x14ac:dyDescent="0.35">
      <c r="A5" s="158" t="s">
        <v>34</v>
      </c>
      <c r="B5" s="159"/>
      <c r="C5" s="160"/>
      <c r="E5" s="74" t="s">
        <v>132</v>
      </c>
      <c r="F5" s="75"/>
      <c r="G5" s="76"/>
      <c r="I5" s="158" t="s">
        <v>62</v>
      </c>
      <c r="J5" s="160"/>
      <c r="L5" s="40"/>
      <c r="M5" s="40"/>
    </row>
    <row r="6" spans="1:15" x14ac:dyDescent="0.25">
      <c r="A6" s="12" t="s">
        <v>0</v>
      </c>
      <c r="B6" s="4" t="s">
        <v>1</v>
      </c>
      <c r="C6" s="11" t="s">
        <v>2</v>
      </c>
      <c r="E6" s="12" t="s">
        <v>54</v>
      </c>
      <c r="F6" s="4" t="s">
        <v>1</v>
      </c>
      <c r="G6" s="11" t="s">
        <v>2</v>
      </c>
      <c r="I6" s="17" t="s">
        <v>64</v>
      </c>
      <c r="J6" s="25"/>
      <c r="L6" s="40"/>
      <c r="M6" s="40"/>
    </row>
    <row r="7" spans="1:15" x14ac:dyDescent="0.25">
      <c r="A7" s="23" t="s">
        <v>3</v>
      </c>
      <c r="B7" s="6">
        <v>97301</v>
      </c>
      <c r="C7" s="5">
        <f>B7/$B$9</f>
        <v>0.94202674050479718</v>
      </c>
      <c r="E7" s="42" t="s">
        <v>55</v>
      </c>
      <c r="F7" s="6">
        <v>39679</v>
      </c>
      <c r="G7" s="5">
        <f>F7/$F$9</f>
        <v>0.96528487325451273</v>
      </c>
      <c r="I7" s="23" t="s">
        <v>65</v>
      </c>
      <c r="J7" s="25"/>
    </row>
    <row r="8" spans="1:15" x14ac:dyDescent="0.25">
      <c r="A8" s="13" t="s">
        <v>4</v>
      </c>
      <c r="B8" s="14">
        <v>5988</v>
      </c>
      <c r="C8" s="15">
        <f>B8/$B$9</f>
        <v>5.7973259495202781E-2</v>
      </c>
      <c r="E8" s="13" t="s">
        <v>58</v>
      </c>
      <c r="F8" s="14">
        <v>1427</v>
      </c>
      <c r="G8" s="15">
        <f>F8/$F$9</f>
        <v>3.4715126745487275E-2</v>
      </c>
      <c r="I8" s="23" t="s">
        <v>66</v>
      </c>
      <c r="J8" s="25"/>
    </row>
    <row r="9" spans="1:15" ht="15.75" thickBot="1" x14ac:dyDescent="0.3">
      <c r="A9" s="24" t="s">
        <v>5</v>
      </c>
      <c r="B9" s="3">
        <f>SUM(B7:B8)</f>
        <v>103289</v>
      </c>
      <c r="C9" s="2"/>
      <c r="E9" s="43" t="s">
        <v>5</v>
      </c>
      <c r="F9" s="3">
        <f>SUM(F7:F8)</f>
        <v>41106</v>
      </c>
      <c r="G9" s="2"/>
      <c r="I9" s="23" t="s">
        <v>67</v>
      </c>
      <c r="J9" s="25"/>
    </row>
    <row r="10" spans="1:15" x14ac:dyDescent="0.25">
      <c r="A10" s="40" t="s">
        <v>151</v>
      </c>
      <c r="E10" s="40" t="s">
        <v>148</v>
      </c>
      <c r="F10" s="6"/>
      <c r="G10" s="49"/>
      <c r="I10" s="23" t="s">
        <v>68</v>
      </c>
      <c r="J10" s="25"/>
    </row>
    <row r="11" spans="1:15" ht="15.75" thickBot="1" x14ac:dyDescent="0.3">
      <c r="A11" s="40"/>
      <c r="B11" s="40"/>
      <c r="C11" s="40"/>
      <c r="E11" s="40"/>
      <c r="F11" s="40"/>
      <c r="G11" s="40"/>
      <c r="I11" s="23" t="s">
        <v>69</v>
      </c>
      <c r="J11" s="25"/>
    </row>
    <row r="12" spans="1:15" ht="35.25" thickBot="1" x14ac:dyDescent="0.35">
      <c r="A12" s="158" t="s">
        <v>35</v>
      </c>
      <c r="B12" s="159"/>
      <c r="C12" s="160"/>
      <c r="E12" s="71" t="s">
        <v>56</v>
      </c>
      <c r="F12" s="72"/>
      <c r="G12" s="73"/>
      <c r="I12" s="23" t="s">
        <v>70</v>
      </c>
      <c r="J12" s="25"/>
    </row>
    <row r="13" spans="1:15" x14ac:dyDescent="0.25">
      <c r="A13" s="12" t="s">
        <v>6</v>
      </c>
      <c r="B13" s="4" t="s">
        <v>7</v>
      </c>
      <c r="C13" s="11" t="s">
        <v>2</v>
      </c>
      <c r="E13" s="12" t="s">
        <v>6</v>
      </c>
      <c r="F13" s="4" t="s">
        <v>7</v>
      </c>
      <c r="G13" s="11" t="s">
        <v>2</v>
      </c>
      <c r="I13" s="23" t="s">
        <v>71</v>
      </c>
      <c r="J13" s="25"/>
    </row>
    <row r="14" spans="1:15" x14ac:dyDescent="0.25">
      <c r="A14" s="23" t="s">
        <v>36</v>
      </c>
      <c r="B14" s="6">
        <v>6828</v>
      </c>
      <c r="C14" s="5">
        <f>B14/$B$21</f>
        <v>6.610578086727531E-2</v>
      </c>
      <c r="E14" s="42" t="s">
        <v>36</v>
      </c>
      <c r="F14" s="6">
        <v>1154</v>
      </c>
      <c r="G14" s="5">
        <f t="shared" ref="G14:G19" si="0">F14/$F$20</f>
        <v>4.2216937991585879E-2</v>
      </c>
      <c r="I14" s="23" t="s">
        <v>72</v>
      </c>
      <c r="J14" s="25"/>
    </row>
    <row r="15" spans="1:15" x14ac:dyDescent="0.25">
      <c r="A15" s="23" t="s">
        <v>37</v>
      </c>
      <c r="B15" s="6">
        <v>9726</v>
      </c>
      <c r="C15" s="5">
        <f t="shared" ref="C15:C20" si="1">B15/$B$21</f>
        <v>9.4162979600925553E-2</v>
      </c>
      <c r="E15" s="42" t="s">
        <v>37</v>
      </c>
      <c r="F15" s="6">
        <v>2069</v>
      </c>
      <c r="G15" s="5">
        <f t="shared" si="0"/>
        <v>7.5690506676422173E-2</v>
      </c>
      <c r="I15" s="23" t="s">
        <v>73</v>
      </c>
      <c r="J15" s="25"/>
    </row>
    <row r="16" spans="1:15" x14ac:dyDescent="0.25">
      <c r="A16" s="23" t="s">
        <v>38</v>
      </c>
      <c r="B16" s="6">
        <v>11923</v>
      </c>
      <c r="C16" s="5">
        <f t="shared" si="1"/>
        <v>0.11543339561812004</v>
      </c>
      <c r="E16" s="42" t="s">
        <v>38</v>
      </c>
      <c r="F16" s="6">
        <v>2903</v>
      </c>
      <c r="G16" s="5">
        <f t="shared" si="0"/>
        <v>0.10620084141210902</v>
      </c>
      <c r="I16" s="23" t="s">
        <v>74</v>
      </c>
      <c r="J16" s="25"/>
    </row>
    <row r="17" spans="1:10" x14ac:dyDescent="0.25">
      <c r="A17" s="23" t="s">
        <v>39</v>
      </c>
      <c r="B17" s="6">
        <v>12473</v>
      </c>
      <c r="C17" s="5">
        <f t="shared" si="1"/>
        <v>0.12075826080221515</v>
      </c>
      <c r="E17" s="42" t="s">
        <v>39</v>
      </c>
      <c r="F17" s="6">
        <v>3417</v>
      </c>
      <c r="G17" s="5">
        <f t="shared" si="0"/>
        <v>0.12500457289189684</v>
      </c>
      <c r="I17" s="23" t="s">
        <v>75</v>
      </c>
      <c r="J17" s="25"/>
    </row>
    <row r="18" spans="1:10" x14ac:dyDescent="0.25">
      <c r="A18" s="23" t="s">
        <v>40</v>
      </c>
      <c r="B18" s="6">
        <v>13074</v>
      </c>
      <c r="C18" s="5">
        <f t="shared" si="1"/>
        <v>0.12657688621247179</v>
      </c>
      <c r="E18" s="42" t="s">
        <v>40</v>
      </c>
      <c r="F18" s="6">
        <v>3722</v>
      </c>
      <c r="G18" s="5">
        <f t="shared" si="0"/>
        <v>0.13616242912017559</v>
      </c>
      <c r="I18" s="23" t="s">
        <v>76</v>
      </c>
      <c r="J18" s="25"/>
    </row>
    <row r="19" spans="1:10" x14ac:dyDescent="0.25">
      <c r="A19" s="23" t="s">
        <v>8</v>
      </c>
      <c r="B19" s="6">
        <v>44892</v>
      </c>
      <c r="C19" s="5">
        <f t="shared" si="1"/>
        <v>0.43462517789890504</v>
      </c>
      <c r="E19" s="13" t="s">
        <v>8</v>
      </c>
      <c r="F19" s="14">
        <v>14070</v>
      </c>
      <c r="G19" s="15">
        <f t="shared" si="0"/>
        <v>0.51472471190781055</v>
      </c>
      <c r="I19" s="23" t="s">
        <v>77</v>
      </c>
      <c r="J19" s="25"/>
    </row>
    <row r="20" spans="1:10" ht="15.75" thickBot="1" x14ac:dyDescent="0.3">
      <c r="A20" s="13" t="s">
        <v>9</v>
      </c>
      <c r="B20" s="14">
        <v>4373</v>
      </c>
      <c r="C20" s="15">
        <f t="shared" si="1"/>
        <v>4.2337519000087136E-2</v>
      </c>
      <c r="E20" s="43" t="s">
        <v>5</v>
      </c>
      <c r="F20" s="3">
        <f>SUM(F14:F19)</f>
        <v>27335</v>
      </c>
      <c r="G20" s="2"/>
      <c r="I20" s="23" t="s">
        <v>78</v>
      </c>
      <c r="J20" s="25"/>
    </row>
    <row r="21" spans="1:10" ht="15.75" thickBot="1" x14ac:dyDescent="0.3">
      <c r="A21" s="24" t="s">
        <v>5</v>
      </c>
      <c r="B21" s="3">
        <f>SUM(B14:B20)</f>
        <v>103289</v>
      </c>
      <c r="C21" s="2"/>
      <c r="E21" s="55" t="s">
        <v>140</v>
      </c>
      <c r="F21" s="6"/>
      <c r="G21" s="49"/>
      <c r="I21" s="23" t="s">
        <v>79</v>
      </c>
      <c r="J21" s="25"/>
    </row>
    <row r="22" spans="1:10" ht="15.75" thickBot="1" x14ac:dyDescent="0.3">
      <c r="A22" s="40" t="s">
        <v>151</v>
      </c>
      <c r="E22" s="40"/>
      <c r="F22" s="40"/>
      <c r="G22" s="40"/>
      <c r="I22" s="23" t="s">
        <v>80</v>
      </c>
      <c r="J22" s="25"/>
    </row>
    <row r="23" spans="1:10" ht="52.5" thickBot="1" x14ac:dyDescent="0.35">
      <c r="A23" s="40"/>
      <c r="B23" s="40"/>
      <c r="C23" s="40"/>
      <c r="E23" s="71" t="s">
        <v>57</v>
      </c>
      <c r="F23" s="72"/>
      <c r="G23" s="73"/>
      <c r="I23" s="23" t="s">
        <v>81</v>
      </c>
      <c r="J23" s="25"/>
    </row>
    <row r="24" spans="1:10" ht="18" thickBot="1" x14ac:dyDescent="0.35">
      <c r="A24" s="158" t="s">
        <v>10</v>
      </c>
      <c r="B24" s="159"/>
      <c r="C24" s="160"/>
      <c r="E24" s="12" t="s">
        <v>6</v>
      </c>
      <c r="F24" s="4" t="s">
        <v>7</v>
      </c>
      <c r="G24" s="11" t="s">
        <v>2</v>
      </c>
      <c r="I24" s="23" t="s">
        <v>82</v>
      </c>
      <c r="J24" s="25"/>
    </row>
    <row r="25" spans="1:10" x14ac:dyDescent="0.25">
      <c r="A25" s="12" t="s">
        <v>6</v>
      </c>
      <c r="B25" s="4" t="s">
        <v>7</v>
      </c>
      <c r="C25" s="11" t="s">
        <v>2</v>
      </c>
      <c r="E25" s="42" t="s">
        <v>36</v>
      </c>
      <c r="F25" s="6">
        <v>114</v>
      </c>
      <c r="G25" s="5">
        <f t="shared" ref="G25:G30" si="2">F25/$F$31</f>
        <v>0.10857142857142857</v>
      </c>
      <c r="I25" s="23" t="s">
        <v>83</v>
      </c>
      <c r="J25" s="25"/>
    </row>
    <row r="26" spans="1:10" x14ac:dyDescent="0.25">
      <c r="A26" s="23" t="s">
        <v>36</v>
      </c>
      <c r="B26" s="6">
        <v>590</v>
      </c>
      <c r="C26" s="5">
        <f>B26/$B$33</f>
        <v>9.8530394121576492E-2</v>
      </c>
      <c r="E26" s="42" t="s">
        <v>37</v>
      </c>
      <c r="F26" s="6">
        <v>236</v>
      </c>
      <c r="G26" s="5">
        <f t="shared" si="2"/>
        <v>0.22476190476190477</v>
      </c>
      <c r="I26" s="23" t="s">
        <v>84</v>
      </c>
      <c r="J26" s="25"/>
    </row>
    <row r="27" spans="1:10" x14ac:dyDescent="0.25">
      <c r="A27" s="23" t="s">
        <v>37</v>
      </c>
      <c r="B27" s="6">
        <v>1082</v>
      </c>
      <c r="C27" s="5">
        <f t="shared" ref="C27:C32" si="3">B27/$B$33</f>
        <v>0.18069472277889112</v>
      </c>
      <c r="E27" s="42" t="s">
        <v>38</v>
      </c>
      <c r="F27" s="6">
        <v>209</v>
      </c>
      <c r="G27" s="5">
        <f t="shared" si="2"/>
        <v>0.19904761904761906</v>
      </c>
      <c r="I27" s="23" t="s">
        <v>85</v>
      </c>
      <c r="J27" s="25"/>
    </row>
    <row r="28" spans="1:10" x14ac:dyDescent="0.25">
      <c r="A28" s="23" t="s">
        <v>38</v>
      </c>
      <c r="B28" s="6">
        <v>1326</v>
      </c>
      <c r="C28" s="5">
        <f t="shared" si="3"/>
        <v>0.22144288577154309</v>
      </c>
      <c r="E28" s="42" t="s">
        <v>39</v>
      </c>
      <c r="F28" s="6">
        <v>107</v>
      </c>
      <c r="G28" s="5">
        <f t="shared" si="2"/>
        <v>0.1019047619047619</v>
      </c>
      <c r="I28" s="23"/>
      <c r="J28" s="25"/>
    </row>
    <row r="29" spans="1:10" x14ac:dyDescent="0.25">
      <c r="A29" s="23" t="s">
        <v>39</v>
      </c>
      <c r="B29" s="6">
        <v>786</v>
      </c>
      <c r="C29" s="5">
        <f t="shared" si="3"/>
        <v>0.13126252505010019</v>
      </c>
      <c r="E29" s="42" t="s">
        <v>40</v>
      </c>
      <c r="F29" s="6">
        <v>214</v>
      </c>
      <c r="G29" s="5">
        <f t="shared" si="2"/>
        <v>0.2038095238095238</v>
      </c>
      <c r="I29" s="23"/>
      <c r="J29" s="25"/>
    </row>
    <row r="30" spans="1:10" x14ac:dyDescent="0.25">
      <c r="A30" s="23" t="s">
        <v>40</v>
      </c>
      <c r="B30" s="6">
        <v>779</v>
      </c>
      <c r="C30" s="5">
        <f t="shared" si="3"/>
        <v>0.13009352037408151</v>
      </c>
      <c r="E30" s="13" t="s">
        <v>8</v>
      </c>
      <c r="F30" s="14">
        <v>170</v>
      </c>
      <c r="G30" s="15">
        <f t="shared" si="2"/>
        <v>0.16190476190476191</v>
      </c>
      <c r="I30" s="23"/>
      <c r="J30" s="25"/>
    </row>
    <row r="31" spans="1:10" ht="15.75" thickBot="1" x14ac:dyDescent="0.3">
      <c r="A31" s="23" t="s">
        <v>8</v>
      </c>
      <c r="B31" s="6">
        <v>980</v>
      </c>
      <c r="C31" s="5">
        <f t="shared" si="3"/>
        <v>0.16366065464261856</v>
      </c>
      <c r="E31" s="43" t="s">
        <v>5</v>
      </c>
      <c r="F31" s="3">
        <f>SUM(F25:F30)</f>
        <v>1050</v>
      </c>
      <c r="G31" s="2"/>
      <c r="I31" s="24"/>
      <c r="J31" s="2"/>
    </row>
    <row r="32" spans="1:10" ht="15.75" thickBot="1" x14ac:dyDescent="0.3">
      <c r="A32" s="13" t="s">
        <v>9</v>
      </c>
      <c r="B32" s="14">
        <v>445</v>
      </c>
      <c r="C32" s="15">
        <f t="shared" si="3"/>
        <v>7.4315297261189045E-2</v>
      </c>
      <c r="E32" s="40"/>
      <c r="F32" s="40"/>
      <c r="G32" s="40"/>
    </row>
    <row r="33" spans="1:7" ht="52.5" thickBot="1" x14ac:dyDescent="0.35">
      <c r="A33" s="24" t="s">
        <v>5</v>
      </c>
      <c r="B33" s="3">
        <f>SUM(B26:B32)</f>
        <v>5988</v>
      </c>
      <c r="C33" s="2"/>
      <c r="E33" s="71" t="s">
        <v>59</v>
      </c>
      <c r="F33" s="72"/>
      <c r="G33" s="73"/>
    </row>
    <row r="34" spans="1:7" ht="15.75" thickBot="1" x14ac:dyDescent="0.3">
      <c r="E34" s="12" t="s">
        <v>6</v>
      </c>
      <c r="F34" s="4" t="s">
        <v>7</v>
      </c>
      <c r="G34" s="11" t="s">
        <v>2</v>
      </c>
    </row>
    <row r="35" spans="1:7" ht="33" customHeight="1" thickBot="1" x14ac:dyDescent="0.35">
      <c r="A35" s="186" t="s">
        <v>150</v>
      </c>
      <c r="B35" s="187"/>
      <c r="C35" s="188"/>
      <c r="E35" s="42" t="s">
        <v>36</v>
      </c>
      <c r="F35" s="6">
        <f>F25</f>
        <v>114</v>
      </c>
      <c r="G35" s="5">
        <f>F35/$F$37</f>
        <v>0.32571428571428573</v>
      </c>
    </row>
    <row r="36" spans="1:7" x14ac:dyDescent="0.25">
      <c r="A36" s="12" t="s">
        <v>0</v>
      </c>
      <c r="B36" s="4" t="s">
        <v>1</v>
      </c>
      <c r="C36" s="11" t="s">
        <v>2</v>
      </c>
      <c r="E36" s="13" t="s">
        <v>37</v>
      </c>
      <c r="F36" s="14">
        <f>F26</f>
        <v>236</v>
      </c>
      <c r="G36" s="15">
        <f>F36/$F$37</f>
        <v>0.67428571428571427</v>
      </c>
    </row>
    <row r="37" spans="1:7" ht="15.75" thickBot="1" x14ac:dyDescent="0.3">
      <c r="A37" s="42" t="s">
        <v>3</v>
      </c>
      <c r="B37" s="6">
        <v>6238</v>
      </c>
      <c r="C37" s="5">
        <v>0.91400000000000003</v>
      </c>
      <c r="E37" s="43" t="s">
        <v>5</v>
      </c>
      <c r="F37" s="3">
        <f>SUM(F35:F36)</f>
        <v>350</v>
      </c>
      <c r="G37" s="2"/>
    </row>
    <row r="38" spans="1:7" ht="15.75" thickBot="1" x14ac:dyDescent="0.3">
      <c r="A38" s="13" t="s">
        <v>4</v>
      </c>
      <c r="B38" s="14">
        <v>590</v>
      </c>
      <c r="C38" s="15">
        <v>8.5999999999999993E-2</v>
      </c>
      <c r="E38" s="40"/>
      <c r="F38" s="40"/>
      <c r="G38" s="40"/>
    </row>
    <row r="39" spans="1:7" ht="52.5" thickBot="1" x14ac:dyDescent="0.35">
      <c r="A39" s="43" t="s">
        <v>5</v>
      </c>
      <c r="B39" s="3">
        <v>6828</v>
      </c>
      <c r="C39" s="48"/>
      <c r="E39" s="71" t="s">
        <v>60</v>
      </c>
      <c r="F39" s="72"/>
      <c r="G39" s="73"/>
    </row>
    <row r="40" spans="1:7" ht="15.75" thickBot="1" x14ac:dyDescent="0.3">
      <c r="A40" s="40"/>
      <c r="B40" s="40"/>
      <c r="C40" s="40"/>
      <c r="E40" s="12" t="s">
        <v>12</v>
      </c>
      <c r="F40" s="4" t="s">
        <v>1</v>
      </c>
      <c r="G40" s="11" t="s">
        <v>2</v>
      </c>
    </row>
    <row r="41" spans="1:7" ht="18" thickBot="1" x14ac:dyDescent="0.35">
      <c r="A41" s="77" t="s">
        <v>155</v>
      </c>
      <c r="B41" s="78"/>
      <c r="C41" s="79"/>
      <c r="E41" s="42" t="s">
        <v>14</v>
      </c>
      <c r="F41" s="6">
        <v>509</v>
      </c>
      <c r="G41" s="5">
        <f t="shared" ref="G41:G50" si="4">F41/$F$51</f>
        <v>0.48476190476190478</v>
      </c>
    </row>
    <row r="42" spans="1:7" x14ac:dyDescent="0.25">
      <c r="A42" s="12" t="s">
        <v>0</v>
      </c>
      <c r="B42" s="4" t="s">
        <v>1</v>
      </c>
      <c r="C42" s="11" t="s">
        <v>2</v>
      </c>
      <c r="E42" s="42" t="s">
        <v>13</v>
      </c>
      <c r="F42" s="6">
        <v>249</v>
      </c>
      <c r="G42" s="5">
        <f t="shared" si="4"/>
        <v>0.23714285714285716</v>
      </c>
    </row>
    <row r="43" spans="1:7" x14ac:dyDescent="0.25">
      <c r="A43" s="42" t="s">
        <v>3</v>
      </c>
      <c r="B43" s="6">
        <v>8644</v>
      </c>
      <c r="C43" s="5">
        <v>0.88900000000000001</v>
      </c>
      <c r="E43" s="42" t="s">
        <v>18</v>
      </c>
      <c r="F43" s="6">
        <v>93</v>
      </c>
      <c r="G43" s="5">
        <f t="shared" si="4"/>
        <v>8.8571428571428565E-2</v>
      </c>
    </row>
    <row r="44" spans="1:7" x14ac:dyDescent="0.25">
      <c r="A44" s="13" t="s">
        <v>4</v>
      </c>
      <c r="B44" s="14">
        <v>1082</v>
      </c>
      <c r="C44" s="15">
        <v>0.111</v>
      </c>
      <c r="E44" s="42" t="s">
        <v>17</v>
      </c>
      <c r="F44" s="6">
        <v>41</v>
      </c>
      <c r="G44" s="5">
        <f t="shared" si="4"/>
        <v>3.9047619047619046E-2</v>
      </c>
    </row>
    <row r="45" spans="1:7" ht="15.75" thickBot="1" x14ac:dyDescent="0.3">
      <c r="A45" s="43" t="s">
        <v>5</v>
      </c>
      <c r="B45" s="3">
        <v>9726</v>
      </c>
      <c r="C45" s="2"/>
      <c r="E45" s="42" t="s">
        <v>24</v>
      </c>
      <c r="F45" s="6">
        <v>35</v>
      </c>
      <c r="G45" s="5">
        <f t="shared" si="4"/>
        <v>3.3333333333333333E-2</v>
      </c>
    </row>
    <row r="46" spans="1:7" ht="15.75" thickBot="1" x14ac:dyDescent="0.3">
      <c r="E46" s="42" t="s">
        <v>15</v>
      </c>
      <c r="F46" s="6">
        <v>33</v>
      </c>
      <c r="G46" s="5">
        <f t="shared" si="4"/>
        <v>3.1428571428571431E-2</v>
      </c>
    </row>
    <row r="47" spans="1:7" ht="18" thickBot="1" x14ac:dyDescent="0.35">
      <c r="A47" s="154" t="s">
        <v>41</v>
      </c>
      <c r="B47" s="155"/>
      <c r="C47" s="156"/>
      <c r="E47" s="42" t="s">
        <v>32</v>
      </c>
      <c r="F47" s="6">
        <v>29</v>
      </c>
      <c r="G47" s="5">
        <f t="shared" si="4"/>
        <v>2.7619047619047619E-2</v>
      </c>
    </row>
    <row r="48" spans="1:7" x14ac:dyDescent="0.25">
      <c r="A48" s="12" t="s">
        <v>6</v>
      </c>
      <c r="B48" s="4" t="s">
        <v>7</v>
      </c>
      <c r="C48" s="11" t="s">
        <v>2</v>
      </c>
      <c r="E48" s="42" t="s">
        <v>128</v>
      </c>
      <c r="F48" s="6">
        <v>21</v>
      </c>
      <c r="G48" s="5">
        <f t="shared" si="4"/>
        <v>0.02</v>
      </c>
    </row>
    <row r="49" spans="1:60" x14ac:dyDescent="0.25">
      <c r="A49" s="23" t="s">
        <v>36</v>
      </c>
      <c r="B49" s="6">
        <f>B26</f>
        <v>590</v>
      </c>
      <c r="C49" s="5">
        <f>B49/$B$51</f>
        <v>0.35287081339712917</v>
      </c>
      <c r="E49" s="42" t="s">
        <v>19</v>
      </c>
      <c r="F49" s="6">
        <v>20</v>
      </c>
      <c r="G49" s="5">
        <f t="shared" si="4"/>
        <v>1.9047619047619049E-2</v>
      </c>
    </row>
    <row r="50" spans="1:60" x14ac:dyDescent="0.25">
      <c r="A50" s="13" t="s">
        <v>37</v>
      </c>
      <c r="B50" s="14">
        <f>B27</f>
        <v>1082</v>
      </c>
      <c r="C50" s="15">
        <f>B50/$B$51</f>
        <v>0.64712918660287078</v>
      </c>
      <c r="E50" s="42" t="s">
        <v>21</v>
      </c>
      <c r="F50" s="6">
        <v>20</v>
      </c>
      <c r="G50" s="5">
        <f t="shared" si="4"/>
        <v>1.9047619047619049E-2</v>
      </c>
    </row>
    <row r="51" spans="1:60" ht="15.75" thickBot="1" x14ac:dyDescent="0.3">
      <c r="A51" s="24" t="s">
        <v>5</v>
      </c>
      <c r="B51" s="3">
        <f>SUM(B49:B50)</f>
        <v>1672</v>
      </c>
      <c r="C51" s="2"/>
      <c r="E51" s="43" t="s">
        <v>5</v>
      </c>
      <c r="F51" s="3">
        <f>SUM(F41:F50)</f>
        <v>1050</v>
      </c>
      <c r="G51" s="2"/>
    </row>
    <row r="52" spans="1:60" s="22" customFormat="1" ht="15.75" thickBot="1" x14ac:dyDescent="0.3">
      <c r="A52" s="21"/>
      <c r="B52" s="21"/>
      <c r="C52" s="21"/>
      <c r="D52" s="21"/>
      <c r="E52" s="56" t="s">
        <v>141</v>
      </c>
      <c r="F52" s="40"/>
      <c r="G52" s="40"/>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row>
    <row r="53" spans="1:60" ht="18" thickBot="1" x14ac:dyDescent="0.35">
      <c r="A53" s="74" t="s">
        <v>44</v>
      </c>
      <c r="B53" s="75"/>
      <c r="C53" s="76"/>
      <c r="E53" s="57"/>
      <c r="F53" s="40"/>
      <c r="G53" s="40"/>
    </row>
    <row r="54" spans="1:60" ht="69.75" thickBot="1" x14ac:dyDescent="0.35">
      <c r="A54" s="12" t="s">
        <v>45</v>
      </c>
      <c r="B54" s="4" t="s">
        <v>7</v>
      </c>
      <c r="C54" s="11" t="s">
        <v>2</v>
      </c>
      <c r="D54" s="22"/>
      <c r="E54" s="71" t="s">
        <v>61</v>
      </c>
      <c r="F54" s="72"/>
      <c r="G54" s="73"/>
    </row>
    <row r="55" spans="1:60" x14ac:dyDescent="0.25">
      <c r="A55" s="42" t="s">
        <v>46</v>
      </c>
      <c r="B55" s="6">
        <v>577</v>
      </c>
      <c r="C55" s="5">
        <f t="shared" ref="C55:C61" si="5">B55/$B$62</f>
        <v>9.6359385437541745E-2</v>
      </c>
      <c r="E55" s="12" t="s">
        <v>12</v>
      </c>
      <c r="F55" s="4" t="s">
        <v>1</v>
      </c>
      <c r="G55" s="11" t="s">
        <v>2</v>
      </c>
    </row>
    <row r="56" spans="1:60" ht="39.75" customHeight="1" x14ac:dyDescent="0.25">
      <c r="A56" s="42" t="s">
        <v>47</v>
      </c>
      <c r="B56" s="6">
        <v>360</v>
      </c>
      <c r="C56" s="5">
        <f t="shared" si="5"/>
        <v>6.0120240480961921E-2</v>
      </c>
      <c r="E56" s="42" t="s">
        <v>13</v>
      </c>
      <c r="F56" s="6">
        <v>159</v>
      </c>
      <c r="G56" s="5">
        <f t="shared" ref="G56:G61" si="6">F56/$F$62</f>
        <v>0.45428571428571429</v>
      </c>
    </row>
    <row r="57" spans="1:60" x14ac:dyDescent="0.25">
      <c r="A57" s="42" t="s">
        <v>48</v>
      </c>
      <c r="B57" s="6">
        <v>1238</v>
      </c>
      <c r="C57" s="5">
        <f t="shared" si="5"/>
        <v>0.20674682698730795</v>
      </c>
      <c r="E57" s="42" t="s">
        <v>14</v>
      </c>
      <c r="F57" s="6">
        <v>121</v>
      </c>
      <c r="G57" s="5">
        <f t="shared" si="6"/>
        <v>0.3457142857142857</v>
      </c>
    </row>
    <row r="58" spans="1:60" x14ac:dyDescent="0.25">
      <c r="A58" s="42" t="s">
        <v>49</v>
      </c>
      <c r="B58" s="6">
        <v>1672</v>
      </c>
      <c r="C58" s="5">
        <f t="shared" si="5"/>
        <v>0.27922511690046758</v>
      </c>
      <c r="E58" s="42" t="s">
        <v>128</v>
      </c>
      <c r="F58" s="6">
        <v>21</v>
      </c>
      <c r="G58" s="5">
        <f t="shared" si="6"/>
        <v>0.06</v>
      </c>
    </row>
    <row r="59" spans="1:60" x14ac:dyDescent="0.25">
      <c r="A59" s="42" t="s">
        <v>50</v>
      </c>
      <c r="B59" s="6">
        <v>925</v>
      </c>
      <c r="C59" s="5">
        <f t="shared" si="5"/>
        <v>0.15447561790247161</v>
      </c>
      <c r="E59" s="42" t="s">
        <v>86</v>
      </c>
      <c r="F59" s="6">
        <v>20</v>
      </c>
      <c r="G59" s="5">
        <f t="shared" si="6"/>
        <v>5.7142857142857141E-2</v>
      </c>
    </row>
    <row r="60" spans="1:60" x14ac:dyDescent="0.25">
      <c r="A60" s="42" t="s">
        <v>51</v>
      </c>
      <c r="B60" s="6">
        <v>515</v>
      </c>
      <c r="C60" s="5">
        <f t="shared" si="5"/>
        <v>8.6005344021376079E-2</v>
      </c>
      <c r="E60" s="42" t="s">
        <v>15</v>
      </c>
      <c r="F60" s="6">
        <v>16</v>
      </c>
      <c r="G60" s="5">
        <f t="shared" si="6"/>
        <v>4.5714285714285714E-2</v>
      </c>
    </row>
    <row r="61" spans="1:60" x14ac:dyDescent="0.25">
      <c r="A61" s="13" t="s">
        <v>52</v>
      </c>
      <c r="B61" s="14">
        <v>701</v>
      </c>
      <c r="C61" s="15">
        <f t="shared" si="5"/>
        <v>0.11706746826987308</v>
      </c>
      <c r="E61" s="42" t="s">
        <v>18</v>
      </c>
      <c r="F61" s="6">
        <v>13</v>
      </c>
      <c r="G61" s="5">
        <f t="shared" si="6"/>
        <v>3.7142857142857144E-2</v>
      </c>
    </row>
    <row r="62" spans="1:60" ht="15.75" thickBot="1" x14ac:dyDescent="0.3">
      <c r="A62" s="43" t="s">
        <v>5</v>
      </c>
      <c r="B62" s="3">
        <f>SUM(B55:B61)</f>
        <v>5988</v>
      </c>
      <c r="C62" s="2"/>
      <c r="E62" s="43" t="s">
        <v>5</v>
      </c>
      <c r="F62" s="3">
        <f>SUM(F56:F61)</f>
        <v>350</v>
      </c>
      <c r="G62" s="2"/>
    </row>
    <row r="63" spans="1:60" ht="15.75" thickBot="1" x14ac:dyDescent="0.3">
      <c r="A63" s="40"/>
      <c r="B63" s="40"/>
      <c r="C63" s="40"/>
      <c r="E63" s="58" t="s">
        <v>141</v>
      </c>
      <c r="F63" s="40"/>
      <c r="G63" s="40"/>
    </row>
    <row r="64" spans="1:60" ht="52.5" thickBot="1" x14ac:dyDescent="0.35">
      <c r="A64" s="71" t="s">
        <v>53</v>
      </c>
      <c r="B64" s="72"/>
      <c r="C64" s="73"/>
      <c r="E64" s="40"/>
      <c r="F64" s="40"/>
      <c r="G64" s="40"/>
    </row>
    <row r="65" spans="1:7" x14ac:dyDescent="0.25">
      <c r="A65" s="12" t="s">
        <v>45</v>
      </c>
      <c r="B65" s="4" t="s">
        <v>7</v>
      </c>
      <c r="C65" s="11" t="s">
        <v>2</v>
      </c>
      <c r="E65" s="40" t="s">
        <v>142</v>
      </c>
      <c r="F65" s="40"/>
      <c r="G65" s="40"/>
    </row>
    <row r="66" spans="1:7" x14ac:dyDescent="0.25">
      <c r="A66" s="42" t="s">
        <v>46</v>
      </c>
      <c r="B66" s="6">
        <v>226</v>
      </c>
      <c r="C66" s="5">
        <f t="shared" ref="C66:C72" si="7">B66/$B$73</f>
        <v>0.13516746411483255</v>
      </c>
    </row>
    <row r="67" spans="1:7" x14ac:dyDescent="0.25">
      <c r="A67" s="42" t="s">
        <v>47</v>
      </c>
      <c r="B67" s="6">
        <v>83</v>
      </c>
      <c r="C67" s="5">
        <f t="shared" si="7"/>
        <v>4.9641148325358854E-2</v>
      </c>
    </row>
    <row r="68" spans="1:7" x14ac:dyDescent="0.25">
      <c r="A68" s="42" t="s">
        <v>48</v>
      </c>
      <c r="B68" s="6">
        <v>401</v>
      </c>
      <c r="C68" s="5">
        <f t="shared" si="7"/>
        <v>0.23983253588516745</v>
      </c>
    </row>
    <row r="69" spans="1:7" x14ac:dyDescent="0.25">
      <c r="A69" s="42" t="s">
        <v>49</v>
      </c>
      <c r="B69" s="6">
        <v>526</v>
      </c>
      <c r="C69" s="5">
        <f t="shared" si="7"/>
        <v>0.3145933014354067</v>
      </c>
    </row>
    <row r="70" spans="1:7" x14ac:dyDescent="0.25">
      <c r="A70" s="42" t="s">
        <v>50</v>
      </c>
      <c r="B70" s="6">
        <v>119</v>
      </c>
      <c r="C70" s="5">
        <f t="shared" si="7"/>
        <v>7.1172248803827748E-2</v>
      </c>
    </row>
    <row r="71" spans="1:7" x14ac:dyDescent="0.25">
      <c r="A71" s="42" t="s">
        <v>51</v>
      </c>
      <c r="B71" s="6">
        <v>89</v>
      </c>
      <c r="C71" s="5">
        <f t="shared" si="7"/>
        <v>5.3229665071770335E-2</v>
      </c>
    </row>
    <row r="72" spans="1:7" x14ac:dyDescent="0.25">
      <c r="A72" s="13" t="s">
        <v>52</v>
      </c>
      <c r="B72" s="14">
        <v>228</v>
      </c>
      <c r="C72" s="15">
        <f t="shared" si="7"/>
        <v>0.13636363636363635</v>
      </c>
    </row>
    <row r="73" spans="1:7" ht="15.75" thickBot="1" x14ac:dyDescent="0.3">
      <c r="A73" s="43" t="s">
        <v>5</v>
      </c>
      <c r="B73" s="3">
        <f>SUM(B66:B72)</f>
        <v>1672</v>
      </c>
      <c r="C73" s="2"/>
    </row>
    <row r="75" spans="1:7" ht="15.75" thickBot="1" x14ac:dyDescent="0.3"/>
    <row r="76" spans="1:7" ht="18" thickBot="1" x14ac:dyDescent="0.35">
      <c r="A76" s="158" t="s">
        <v>11</v>
      </c>
      <c r="B76" s="159"/>
      <c r="C76" s="160"/>
    </row>
    <row r="77" spans="1:7" x14ac:dyDescent="0.25">
      <c r="A77" s="12" t="s">
        <v>12</v>
      </c>
      <c r="B77" s="4" t="s">
        <v>1</v>
      </c>
      <c r="C77" s="11" t="s">
        <v>2</v>
      </c>
    </row>
    <row r="78" spans="1:7" x14ac:dyDescent="0.25">
      <c r="A78" s="18" t="s">
        <v>14</v>
      </c>
      <c r="B78" s="6">
        <v>2425</v>
      </c>
      <c r="C78" s="5">
        <f t="shared" ref="C78:C88" si="8">B78/$B$89</f>
        <v>0.40497661990647965</v>
      </c>
    </row>
    <row r="79" spans="1:7" x14ac:dyDescent="0.25">
      <c r="A79" s="18" t="s">
        <v>13</v>
      </c>
      <c r="B79" s="6">
        <v>1807</v>
      </c>
      <c r="C79" s="5">
        <f t="shared" si="8"/>
        <v>0.3017702070808283</v>
      </c>
    </row>
    <row r="80" spans="1:7" x14ac:dyDescent="0.25">
      <c r="A80" s="18" t="s">
        <v>15</v>
      </c>
      <c r="B80" s="6">
        <v>193</v>
      </c>
      <c r="C80" s="5">
        <f t="shared" si="8"/>
        <v>3.2231128924515698E-2</v>
      </c>
    </row>
    <row r="81" spans="1:17" x14ac:dyDescent="0.25">
      <c r="A81" s="18" t="s">
        <v>19</v>
      </c>
      <c r="B81" s="6">
        <v>180</v>
      </c>
      <c r="C81" s="5">
        <f t="shared" si="8"/>
        <v>3.0060120240480961E-2</v>
      </c>
    </row>
    <row r="82" spans="1:17" ht="35.25" customHeight="1" x14ac:dyDescent="0.25">
      <c r="A82" s="18" t="s">
        <v>18</v>
      </c>
      <c r="B82" s="6">
        <v>180</v>
      </c>
      <c r="C82" s="5">
        <f t="shared" si="8"/>
        <v>3.0060120240480961E-2</v>
      </c>
    </row>
    <row r="83" spans="1:17" x14ac:dyDescent="0.25">
      <c r="A83" s="18" t="s">
        <v>24</v>
      </c>
      <c r="B83" s="6">
        <v>120</v>
      </c>
      <c r="C83" s="5">
        <f t="shared" si="8"/>
        <v>2.004008016032064E-2</v>
      </c>
    </row>
    <row r="84" spans="1:17" x14ac:dyDescent="0.25">
      <c r="A84" s="18" t="s">
        <v>17</v>
      </c>
      <c r="B84" s="6">
        <v>102</v>
      </c>
      <c r="C84" s="5">
        <f t="shared" si="8"/>
        <v>1.7034068136272545E-2</v>
      </c>
    </row>
    <row r="85" spans="1:17" x14ac:dyDescent="0.25">
      <c r="A85" s="18" t="s">
        <v>30</v>
      </c>
      <c r="B85" s="6">
        <v>91</v>
      </c>
      <c r="C85" s="5">
        <f t="shared" si="8"/>
        <v>1.5197060788243153E-2</v>
      </c>
    </row>
    <row r="86" spans="1:17" x14ac:dyDescent="0.25">
      <c r="A86" s="18" t="s">
        <v>86</v>
      </c>
      <c r="B86" s="6">
        <v>75</v>
      </c>
      <c r="C86" s="5">
        <f t="shared" si="8"/>
        <v>1.2525050100200401E-2</v>
      </c>
    </row>
    <row r="87" spans="1:17" x14ac:dyDescent="0.25">
      <c r="A87" s="18" t="s">
        <v>16</v>
      </c>
      <c r="B87" s="6">
        <v>69</v>
      </c>
      <c r="C87" s="5">
        <f t="shared" si="8"/>
        <v>1.1523046092184368E-2</v>
      </c>
    </row>
    <row r="88" spans="1:17" x14ac:dyDescent="0.25">
      <c r="A88" s="19" t="s">
        <v>33</v>
      </c>
      <c r="B88" s="14">
        <v>746</v>
      </c>
      <c r="C88" s="15">
        <f t="shared" si="8"/>
        <v>0.12458249832999332</v>
      </c>
    </row>
    <row r="89" spans="1:17" ht="15.75" thickBot="1" x14ac:dyDescent="0.3">
      <c r="A89" s="43" t="s">
        <v>5</v>
      </c>
      <c r="B89" s="3">
        <f>SUM(B78:B88)</f>
        <v>5988</v>
      </c>
      <c r="C89" s="2"/>
    </row>
    <row r="90" spans="1:17" ht="15.75" thickBot="1" x14ac:dyDescent="0.3">
      <c r="A90" s="40"/>
      <c r="B90" s="40"/>
      <c r="C90" s="40"/>
    </row>
    <row r="91" spans="1:17" ht="52.5" thickBot="1" x14ac:dyDescent="0.35">
      <c r="A91" s="71" t="s">
        <v>42</v>
      </c>
      <c r="B91" s="72"/>
      <c r="C91" s="73"/>
    </row>
    <row r="92" spans="1:17" x14ac:dyDescent="0.25">
      <c r="A92" s="12" t="s">
        <v>12</v>
      </c>
      <c r="B92" s="4" t="s">
        <v>1</v>
      </c>
      <c r="C92" s="11" t="s">
        <v>2</v>
      </c>
      <c r="D92" s="40"/>
      <c r="E92" s="40"/>
      <c r="F92" s="40"/>
    </row>
    <row r="93" spans="1:17" x14ac:dyDescent="0.25">
      <c r="A93" s="42" t="s">
        <v>13</v>
      </c>
      <c r="B93" s="6">
        <v>691</v>
      </c>
      <c r="C93" s="5">
        <f t="shared" ref="C93:C103" si="9">B93/$B$104</f>
        <v>0.41327751196172247</v>
      </c>
      <c r="D93" s="40"/>
      <c r="E93" s="40"/>
      <c r="F93" s="40"/>
      <c r="G93" s="40"/>
      <c r="H93" s="40"/>
      <c r="I93" s="40"/>
      <c r="J93" s="40"/>
      <c r="K93" s="40"/>
    </row>
    <row r="94" spans="1:17" x14ac:dyDescent="0.25">
      <c r="A94" s="42" t="s">
        <v>14</v>
      </c>
      <c r="B94" s="6">
        <v>549</v>
      </c>
      <c r="C94" s="5">
        <f t="shared" si="9"/>
        <v>0.32834928229665072</v>
      </c>
      <c r="D94" s="40"/>
      <c r="E94" s="40"/>
      <c r="F94" s="40"/>
      <c r="G94" s="40"/>
      <c r="H94" s="40"/>
      <c r="I94" s="40"/>
      <c r="J94" s="40"/>
      <c r="K94" s="40"/>
    </row>
    <row r="95" spans="1:17" x14ac:dyDescent="0.25">
      <c r="A95" s="42" t="s">
        <v>86</v>
      </c>
      <c r="B95" s="6">
        <v>75</v>
      </c>
      <c r="C95" s="5">
        <f t="shared" si="9"/>
        <v>4.4856459330143539E-2</v>
      </c>
      <c r="D95" s="40"/>
      <c r="E95" s="40"/>
      <c r="F95" s="40"/>
      <c r="G95" s="40"/>
      <c r="H95" s="40"/>
      <c r="I95" s="40"/>
      <c r="J95" s="40"/>
      <c r="K95" s="40"/>
    </row>
    <row r="96" spans="1:17" x14ac:dyDescent="0.25">
      <c r="A96" s="42" t="s">
        <v>16</v>
      </c>
      <c r="B96" s="6">
        <v>69</v>
      </c>
      <c r="C96" s="5">
        <f t="shared" si="9"/>
        <v>4.1267942583732058E-2</v>
      </c>
      <c r="L96" s="40"/>
      <c r="M96" s="40"/>
      <c r="N96" s="40"/>
      <c r="O96" s="40"/>
      <c r="P96" s="40"/>
      <c r="Q96" s="40"/>
    </row>
    <row r="97" spans="1:17" x14ac:dyDescent="0.25">
      <c r="A97" s="42" t="s">
        <v>110</v>
      </c>
      <c r="B97" s="6">
        <v>65</v>
      </c>
      <c r="C97" s="5">
        <f t="shared" si="9"/>
        <v>3.8875598086124404E-2</v>
      </c>
      <c r="L97" s="40"/>
      <c r="M97" s="40"/>
      <c r="N97" s="40"/>
      <c r="O97" s="40"/>
      <c r="P97" s="40"/>
      <c r="Q97" s="40"/>
    </row>
    <row r="98" spans="1:17" x14ac:dyDescent="0.25">
      <c r="A98" s="42" t="s">
        <v>15</v>
      </c>
      <c r="B98" s="6">
        <v>57</v>
      </c>
      <c r="C98" s="5">
        <f t="shared" si="9"/>
        <v>3.4090909090909088E-2</v>
      </c>
      <c r="L98" s="40"/>
      <c r="M98" s="40"/>
      <c r="N98" s="40"/>
      <c r="O98" s="40"/>
      <c r="P98" s="40"/>
      <c r="Q98" s="40"/>
    </row>
    <row r="99" spans="1:17" x14ac:dyDescent="0.25">
      <c r="A99" s="42" t="s">
        <v>128</v>
      </c>
      <c r="B99" s="6">
        <v>41</v>
      </c>
      <c r="C99" s="5">
        <f t="shared" si="9"/>
        <v>2.4521531100478468E-2</v>
      </c>
    </row>
    <row r="100" spans="1:17" x14ac:dyDescent="0.25">
      <c r="A100" s="42" t="s">
        <v>63</v>
      </c>
      <c r="B100" s="6">
        <v>27</v>
      </c>
      <c r="C100" s="5">
        <f t="shared" si="9"/>
        <v>1.6148325358851676E-2</v>
      </c>
    </row>
    <row r="101" spans="1:17" x14ac:dyDescent="0.25">
      <c r="A101" s="42" t="s">
        <v>18</v>
      </c>
      <c r="B101" s="6">
        <v>27</v>
      </c>
      <c r="C101" s="5">
        <f t="shared" si="9"/>
        <v>1.6148325358851676E-2</v>
      </c>
    </row>
    <row r="102" spans="1:17" x14ac:dyDescent="0.25">
      <c r="A102" s="42" t="s">
        <v>24</v>
      </c>
      <c r="B102" s="6">
        <v>20</v>
      </c>
      <c r="C102" s="5">
        <f t="shared" si="9"/>
        <v>1.1961722488038277E-2</v>
      </c>
      <c r="D102" s="40"/>
      <c r="E102" s="40"/>
    </row>
    <row r="103" spans="1:17" x14ac:dyDescent="0.25">
      <c r="A103" s="13" t="s">
        <v>33</v>
      </c>
      <c r="B103" s="14">
        <v>51</v>
      </c>
      <c r="C103" s="15">
        <f t="shared" si="9"/>
        <v>3.0502392344497607E-2</v>
      </c>
    </row>
    <row r="104" spans="1:17" ht="33.75" customHeight="1" thickBot="1" x14ac:dyDescent="0.3">
      <c r="A104" s="43" t="s">
        <v>5</v>
      </c>
      <c r="B104" s="3">
        <f>SUM(B93:B103)</f>
        <v>1672</v>
      </c>
      <c r="C104" s="2"/>
    </row>
    <row r="105" spans="1:17" x14ac:dyDescent="0.25">
      <c r="A105" s="51" t="s">
        <v>137</v>
      </c>
      <c r="B105" s="52"/>
      <c r="C105" s="53"/>
    </row>
    <row r="106" spans="1:17" x14ac:dyDescent="0.25">
      <c r="A106" s="54" t="s">
        <v>138</v>
      </c>
      <c r="B106" s="52"/>
      <c r="C106" s="53"/>
    </row>
    <row r="107" spans="1:17" x14ac:dyDescent="0.25">
      <c r="A107" s="54" t="s">
        <v>139</v>
      </c>
      <c r="B107" s="52"/>
      <c r="C107" s="53"/>
    </row>
    <row r="108" spans="1:17" x14ac:dyDescent="0.25">
      <c r="A108" s="40"/>
      <c r="B108" s="40"/>
      <c r="C108" s="40"/>
    </row>
    <row r="113" spans="4:5" x14ac:dyDescent="0.25">
      <c r="D113" s="40"/>
      <c r="E113" s="40"/>
    </row>
    <row r="115" spans="4:5" ht="39" customHeight="1" x14ac:dyDescent="0.25"/>
    <row r="125" spans="4:5" ht="36" customHeight="1" x14ac:dyDescent="0.25"/>
    <row r="131" ht="37.5" customHeight="1" x14ac:dyDescent="0.25"/>
    <row r="146" spans="4:8" ht="36" customHeight="1" x14ac:dyDescent="0.25"/>
    <row r="155" spans="4:8" x14ac:dyDescent="0.25">
      <c r="D155" s="40"/>
      <c r="E155" s="40"/>
      <c r="F155" s="40"/>
      <c r="G155" s="40"/>
      <c r="H155" s="40"/>
    </row>
    <row r="156" spans="4:8" x14ac:dyDescent="0.25">
      <c r="D156" s="40"/>
      <c r="E156" s="40"/>
      <c r="F156" s="40"/>
      <c r="G156" s="40"/>
      <c r="H156" s="40"/>
    </row>
    <row r="157" spans="4:8" x14ac:dyDescent="0.25">
      <c r="D157" s="40"/>
      <c r="E157" s="40"/>
      <c r="F157" s="40"/>
      <c r="G157" s="40"/>
      <c r="H157" s="40"/>
    </row>
  </sheetData>
  <mergeCells count="8">
    <mergeCell ref="A47:C47"/>
    <mergeCell ref="A76:C76"/>
    <mergeCell ref="A1:F1"/>
    <mergeCell ref="A5:C5"/>
    <mergeCell ref="I5:J5"/>
    <mergeCell ref="A12:C12"/>
    <mergeCell ref="A24:C24"/>
    <mergeCell ref="A35:C3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70"/>
  <sheetViews>
    <sheetView topLeftCell="A88" workbookViewId="0">
      <selection activeCell="E39" sqref="E39:G61"/>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3.85546875" style="20" bestFit="1" customWidth="1"/>
    <col min="6" max="6" width="18.42578125" style="20" bestFit="1" customWidth="1"/>
    <col min="7" max="7" width="14.42578125" style="20" customWidth="1"/>
    <col min="8" max="8" width="8.85546875" style="20"/>
    <col min="9" max="9" width="27.7109375" style="20" bestFit="1" customWidth="1"/>
    <col min="10" max="16384" width="8.85546875" style="20"/>
  </cols>
  <sheetData>
    <row r="1" spans="1:14" ht="21" x14ac:dyDescent="0.35">
      <c r="A1" s="171" t="s">
        <v>87</v>
      </c>
      <c r="B1" s="171"/>
      <c r="C1" s="171"/>
      <c r="D1" s="171"/>
      <c r="E1" s="171"/>
      <c r="F1" s="171"/>
    </row>
    <row r="2" spans="1:14" x14ac:dyDescent="0.25">
      <c r="A2" s="50" t="s">
        <v>135</v>
      </c>
      <c r="B2" s="50"/>
      <c r="C2" s="40"/>
      <c r="D2" s="40"/>
      <c r="E2" s="40"/>
      <c r="F2" s="40"/>
      <c r="G2" s="40"/>
      <c r="H2" s="40"/>
      <c r="I2" s="40"/>
      <c r="J2" s="40"/>
      <c r="K2" s="40"/>
      <c r="L2" s="40"/>
      <c r="M2" s="40"/>
      <c r="N2" s="40"/>
    </row>
    <row r="3" spans="1:14" x14ac:dyDescent="0.25">
      <c r="A3" s="40" t="s">
        <v>136</v>
      </c>
      <c r="B3" s="40"/>
      <c r="C3" s="40"/>
      <c r="D3" s="40"/>
      <c r="E3" s="40"/>
      <c r="F3" s="40"/>
      <c r="G3" s="40"/>
      <c r="H3" s="40"/>
      <c r="I3" s="40"/>
      <c r="J3" s="40"/>
      <c r="K3" s="40"/>
      <c r="L3" s="40"/>
      <c r="M3" s="40"/>
      <c r="N3" s="40"/>
    </row>
    <row r="4" spans="1:14" ht="15.75" thickBot="1" x14ac:dyDescent="0.3">
      <c r="L4" s="40"/>
      <c r="M4" s="40"/>
      <c r="N4" s="40"/>
    </row>
    <row r="5" spans="1:14" ht="18" thickBot="1" x14ac:dyDescent="0.35">
      <c r="A5" s="158" t="s">
        <v>34</v>
      </c>
      <c r="B5" s="159"/>
      <c r="C5" s="160"/>
      <c r="E5" s="74" t="s">
        <v>132</v>
      </c>
      <c r="F5" s="75"/>
      <c r="G5" s="76"/>
      <c r="I5" s="158" t="s">
        <v>62</v>
      </c>
      <c r="J5" s="160"/>
      <c r="L5" s="40"/>
      <c r="M5" s="40"/>
      <c r="N5" s="40"/>
    </row>
    <row r="6" spans="1:14" x14ac:dyDescent="0.25">
      <c r="A6" s="12" t="s">
        <v>0</v>
      </c>
      <c r="B6" s="4" t="s">
        <v>1</v>
      </c>
      <c r="C6" s="11" t="s">
        <v>2</v>
      </c>
      <c r="E6" s="12" t="s">
        <v>54</v>
      </c>
      <c r="F6" s="4" t="s">
        <v>1</v>
      </c>
      <c r="G6" s="11" t="s">
        <v>2</v>
      </c>
      <c r="I6" s="17" t="s">
        <v>88</v>
      </c>
      <c r="J6" s="29"/>
      <c r="L6" s="40"/>
      <c r="M6" s="40"/>
      <c r="N6" s="40"/>
    </row>
    <row r="7" spans="1:14" x14ac:dyDescent="0.25">
      <c r="A7" s="27" t="s">
        <v>3</v>
      </c>
      <c r="B7" s="6">
        <v>174839</v>
      </c>
      <c r="C7" s="5">
        <f>B7/$B$9</f>
        <v>0.9744025591867671</v>
      </c>
      <c r="E7" s="42" t="s">
        <v>55</v>
      </c>
      <c r="F7" s="6">
        <v>67949</v>
      </c>
      <c r="G7" s="5">
        <f>F7/$F$9</f>
        <v>0.98592550675430579</v>
      </c>
      <c r="I7" s="27" t="s">
        <v>89</v>
      </c>
      <c r="J7" s="29"/>
      <c r="L7" s="40"/>
    </row>
    <row r="8" spans="1:14" x14ac:dyDescent="0.25">
      <c r="A8" s="13" t="s">
        <v>4</v>
      </c>
      <c r="B8" s="14">
        <v>4593</v>
      </c>
      <c r="C8" s="15">
        <f>B8/$B$9</f>
        <v>2.5597440813232869E-2</v>
      </c>
      <c r="E8" s="13" t="s">
        <v>58</v>
      </c>
      <c r="F8" s="14">
        <v>970</v>
      </c>
      <c r="G8" s="15">
        <f>F8/$F$9</f>
        <v>1.4074493245694221E-2</v>
      </c>
      <c r="I8" s="27" t="s">
        <v>90</v>
      </c>
      <c r="J8" s="29"/>
    </row>
    <row r="9" spans="1:14" ht="15.75" thickBot="1" x14ac:dyDescent="0.3">
      <c r="A9" s="28" t="s">
        <v>5</v>
      </c>
      <c r="B9" s="3">
        <f>SUM(B7:B8)</f>
        <v>179432</v>
      </c>
      <c r="C9" s="2"/>
      <c r="E9" s="43" t="s">
        <v>5</v>
      </c>
      <c r="F9" s="3">
        <f>SUM(F7:F8)</f>
        <v>68919</v>
      </c>
      <c r="G9" s="2"/>
      <c r="I9" s="27" t="s">
        <v>91</v>
      </c>
      <c r="J9" s="29"/>
    </row>
    <row r="10" spans="1:14" x14ac:dyDescent="0.25">
      <c r="A10" s="40" t="s">
        <v>152</v>
      </c>
      <c r="B10" s="6"/>
      <c r="C10" s="49"/>
      <c r="D10" s="40"/>
      <c r="E10" s="40" t="s">
        <v>148</v>
      </c>
      <c r="F10" s="40"/>
      <c r="G10" s="40"/>
      <c r="I10" s="27" t="s">
        <v>92</v>
      </c>
      <c r="J10" s="29"/>
    </row>
    <row r="11" spans="1:14" ht="15.75" thickBot="1" x14ac:dyDescent="0.3">
      <c r="E11" s="40"/>
      <c r="F11" s="40"/>
      <c r="G11" s="40"/>
      <c r="I11" s="27" t="s">
        <v>93</v>
      </c>
      <c r="J11" s="29"/>
    </row>
    <row r="12" spans="1:14" ht="35.25" thickBot="1" x14ac:dyDescent="0.35">
      <c r="A12" s="158" t="s">
        <v>35</v>
      </c>
      <c r="B12" s="159"/>
      <c r="C12" s="160"/>
      <c r="E12" s="71" t="s">
        <v>56</v>
      </c>
      <c r="F12" s="72"/>
      <c r="G12" s="73"/>
      <c r="I12" s="27" t="s">
        <v>94</v>
      </c>
      <c r="J12" s="29"/>
    </row>
    <row r="13" spans="1:14" x14ac:dyDescent="0.25">
      <c r="A13" s="12" t="s">
        <v>6</v>
      </c>
      <c r="B13" s="4" t="s">
        <v>7</v>
      </c>
      <c r="C13" s="11" t="s">
        <v>2</v>
      </c>
      <c r="E13" s="12" t="s">
        <v>6</v>
      </c>
      <c r="F13" s="4" t="s">
        <v>7</v>
      </c>
      <c r="G13" s="11" t="s">
        <v>2</v>
      </c>
      <c r="I13" s="27" t="s">
        <v>95</v>
      </c>
      <c r="J13" s="29"/>
    </row>
    <row r="14" spans="1:14" x14ac:dyDescent="0.25">
      <c r="A14" s="27" t="s">
        <v>36</v>
      </c>
      <c r="B14" s="6">
        <v>6961</v>
      </c>
      <c r="C14" s="5">
        <f>B14/$B$21</f>
        <v>3.8794640866735029E-2</v>
      </c>
      <c r="E14" s="42" t="s">
        <v>36</v>
      </c>
      <c r="F14" s="6">
        <v>1401</v>
      </c>
      <c r="G14" s="5">
        <f t="shared" ref="G14:G19" si="0">F14/$F$20</f>
        <v>2.7478670197116799E-2</v>
      </c>
      <c r="I14" s="27" t="s">
        <v>96</v>
      </c>
      <c r="J14" s="29"/>
    </row>
    <row r="15" spans="1:14" x14ac:dyDescent="0.25">
      <c r="A15" s="27" t="s">
        <v>37</v>
      </c>
      <c r="B15" s="6">
        <v>14328</v>
      </c>
      <c r="C15" s="5">
        <f t="shared" ref="C15:C20" si="1">B15/$B$21</f>
        <v>7.9851977350751266E-2</v>
      </c>
      <c r="E15" s="42" t="s">
        <v>37</v>
      </c>
      <c r="F15" s="6">
        <v>3401</v>
      </c>
      <c r="G15" s="5">
        <f t="shared" si="0"/>
        <v>6.6705893890359913E-2</v>
      </c>
      <c r="I15" s="27" t="s">
        <v>97</v>
      </c>
      <c r="J15" s="29"/>
    </row>
    <row r="16" spans="1:14" x14ac:dyDescent="0.25">
      <c r="A16" s="27" t="s">
        <v>38</v>
      </c>
      <c r="B16" s="6">
        <v>18855</v>
      </c>
      <c r="C16" s="5">
        <f t="shared" si="1"/>
        <v>0.10508159079762808</v>
      </c>
      <c r="E16" s="42" t="s">
        <v>38</v>
      </c>
      <c r="F16" s="6">
        <v>4732</v>
      </c>
      <c r="G16" s="5">
        <f t="shared" si="0"/>
        <v>9.2811611258213203E-2</v>
      </c>
      <c r="I16" s="27" t="s">
        <v>98</v>
      </c>
      <c r="J16" s="29"/>
    </row>
    <row r="17" spans="1:60" x14ac:dyDescent="0.25">
      <c r="A17" s="27" t="s">
        <v>39</v>
      </c>
      <c r="B17" s="6">
        <v>23465</v>
      </c>
      <c r="C17" s="5">
        <f t="shared" si="1"/>
        <v>0.1307737750234072</v>
      </c>
      <c r="E17" s="42" t="s">
        <v>39</v>
      </c>
      <c r="F17" s="6">
        <v>6390</v>
      </c>
      <c r="G17" s="5">
        <f t="shared" si="0"/>
        <v>0.12533097969991175</v>
      </c>
      <c r="I17" s="27" t="s">
        <v>99</v>
      </c>
      <c r="J17" s="29"/>
    </row>
    <row r="18" spans="1:60" x14ac:dyDescent="0.25">
      <c r="A18" s="27" t="s">
        <v>40</v>
      </c>
      <c r="B18" s="6">
        <v>25721</v>
      </c>
      <c r="C18" s="5">
        <f t="shared" si="1"/>
        <v>0.14334678318248695</v>
      </c>
      <c r="E18" s="42" t="s">
        <v>40</v>
      </c>
      <c r="F18" s="6">
        <v>7065</v>
      </c>
      <c r="G18" s="5">
        <f t="shared" si="0"/>
        <v>0.13857016769638128</v>
      </c>
      <c r="I18" s="27" t="s">
        <v>100</v>
      </c>
      <c r="J18" s="29"/>
    </row>
    <row r="19" spans="1:60" x14ac:dyDescent="0.25">
      <c r="A19" s="27" t="s">
        <v>8</v>
      </c>
      <c r="B19" s="6">
        <v>88590</v>
      </c>
      <c r="C19" s="5">
        <f t="shared" si="1"/>
        <v>0.49372464220428908</v>
      </c>
      <c r="E19" s="13" t="s">
        <v>8</v>
      </c>
      <c r="F19" s="14">
        <v>27996</v>
      </c>
      <c r="G19" s="15">
        <f t="shared" si="0"/>
        <v>0.54910267725801709</v>
      </c>
      <c r="I19" s="27" t="s">
        <v>101</v>
      </c>
      <c r="J19" s="29"/>
    </row>
    <row r="20" spans="1:60" ht="15.75" thickBot="1" x14ac:dyDescent="0.3">
      <c r="A20" s="13" t="s">
        <v>9</v>
      </c>
      <c r="B20" s="14">
        <v>1512</v>
      </c>
      <c r="C20" s="15">
        <f t="shared" si="1"/>
        <v>8.4265905747023945E-3</v>
      </c>
      <c r="E20" s="43" t="s">
        <v>5</v>
      </c>
      <c r="F20" s="3">
        <f>SUM(F14:F19)</f>
        <v>50985</v>
      </c>
      <c r="G20" s="2"/>
      <c r="I20" s="27" t="s">
        <v>102</v>
      </c>
      <c r="J20" s="29"/>
    </row>
    <row r="21" spans="1:60" ht="15.75" thickBot="1" x14ac:dyDescent="0.3">
      <c r="A21" s="28" t="s">
        <v>5</v>
      </c>
      <c r="B21" s="3">
        <f>SUM(B14:B20)</f>
        <v>179432</v>
      </c>
      <c r="C21" s="2"/>
      <c r="E21" s="55" t="s">
        <v>140</v>
      </c>
      <c r="F21" s="40"/>
      <c r="G21" s="40"/>
      <c r="I21" s="27"/>
      <c r="J21" s="29"/>
    </row>
    <row r="22" spans="1:60" ht="15.75" thickBot="1" x14ac:dyDescent="0.3">
      <c r="A22" s="40" t="s">
        <v>152</v>
      </c>
      <c r="B22" s="6"/>
      <c r="C22" s="49"/>
      <c r="D22" s="40"/>
      <c r="E22" s="67"/>
      <c r="F22" s="40"/>
      <c r="G22" s="40"/>
      <c r="I22" s="27"/>
      <c r="J22" s="29"/>
    </row>
    <row r="23" spans="1:60" ht="52.5" thickBot="1" x14ac:dyDescent="0.35">
      <c r="E23" s="71" t="s">
        <v>57</v>
      </c>
      <c r="F23" s="72"/>
      <c r="G23" s="73"/>
      <c r="I23" s="27"/>
      <c r="J23" s="29"/>
    </row>
    <row r="24" spans="1:60" ht="18" thickBot="1" x14ac:dyDescent="0.35">
      <c r="A24" s="158" t="s">
        <v>10</v>
      </c>
      <c r="B24" s="159"/>
      <c r="C24" s="160"/>
      <c r="E24" s="12" t="s">
        <v>6</v>
      </c>
      <c r="F24" s="4" t="s">
        <v>7</v>
      </c>
      <c r="G24" s="11" t="s">
        <v>2</v>
      </c>
      <c r="I24" s="27"/>
      <c r="J24" s="29"/>
    </row>
    <row r="25" spans="1:60" x14ac:dyDescent="0.25">
      <c r="A25" s="12" t="s">
        <v>6</v>
      </c>
      <c r="B25" s="4" t="s">
        <v>7</v>
      </c>
      <c r="C25" s="11" t="s">
        <v>2</v>
      </c>
      <c r="E25" s="42" t="s">
        <v>36</v>
      </c>
      <c r="F25" s="6">
        <v>27</v>
      </c>
      <c r="G25" s="5">
        <f t="shared" ref="G25:G30" si="2">F25/$F$31</f>
        <v>3.614457831325301E-2</v>
      </c>
      <c r="I25" s="27"/>
      <c r="J25" s="29"/>
    </row>
    <row r="26" spans="1:60" x14ac:dyDescent="0.25">
      <c r="A26" s="27" t="s">
        <v>36</v>
      </c>
      <c r="B26" s="6">
        <v>302</v>
      </c>
      <c r="C26" s="5">
        <f>B26/$B$33</f>
        <v>6.5752231656869151E-2</v>
      </c>
      <c r="E26" s="42" t="s">
        <v>37</v>
      </c>
      <c r="F26" s="6">
        <v>52</v>
      </c>
      <c r="G26" s="5">
        <f t="shared" si="2"/>
        <v>6.9611780455153954E-2</v>
      </c>
      <c r="I26" s="27"/>
      <c r="J26" s="29"/>
    </row>
    <row r="27" spans="1:60" x14ac:dyDescent="0.25">
      <c r="A27" s="27" t="s">
        <v>37</v>
      </c>
      <c r="B27" s="6">
        <v>303</v>
      </c>
      <c r="C27" s="5">
        <f t="shared" ref="C27:C32" si="3">B27/$B$33</f>
        <v>6.5969954278249504E-2</v>
      </c>
      <c r="E27" s="42" t="s">
        <v>38</v>
      </c>
      <c r="F27" s="6">
        <v>84</v>
      </c>
      <c r="G27" s="5">
        <f t="shared" si="2"/>
        <v>0.11244979919678715</v>
      </c>
      <c r="I27" s="27"/>
      <c r="J27" s="29"/>
    </row>
    <row r="28" spans="1:60" x14ac:dyDescent="0.25">
      <c r="A28" s="27" t="s">
        <v>38</v>
      </c>
      <c r="B28" s="6">
        <v>489</v>
      </c>
      <c r="C28" s="5">
        <f t="shared" si="3"/>
        <v>0.10646636185499674</v>
      </c>
      <c r="E28" s="42" t="s">
        <v>39</v>
      </c>
      <c r="F28" s="6">
        <v>186</v>
      </c>
      <c r="G28" s="5">
        <f t="shared" si="2"/>
        <v>0.24899598393574296</v>
      </c>
      <c r="I28" s="27"/>
      <c r="J28" s="29"/>
    </row>
    <row r="29" spans="1:60" x14ac:dyDescent="0.25">
      <c r="A29" s="27" t="s">
        <v>39</v>
      </c>
      <c r="B29" s="6">
        <v>637</v>
      </c>
      <c r="C29" s="5">
        <f t="shared" si="3"/>
        <v>0.13868930981929023</v>
      </c>
      <c r="E29" s="42" t="s">
        <v>40</v>
      </c>
      <c r="F29" s="6">
        <v>72</v>
      </c>
      <c r="G29" s="5">
        <f t="shared" si="2"/>
        <v>9.6385542168674704E-2</v>
      </c>
      <c r="I29" s="27"/>
      <c r="J29" s="29"/>
    </row>
    <row r="30" spans="1:60" x14ac:dyDescent="0.25">
      <c r="A30" s="27" t="s">
        <v>40</v>
      </c>
      <c r="B30" s="6">
        <v>871</v>
      </c>
      <c r="C30" s="5">
        <f t="shared" si="3"/>
        <v>0.1896364032222948</v>
      </c>
      <c r="E30" s="13" t="s">
        <v>8</v>
      </c>
      <c r="F30" s="14">
        <v>326</v>
      </c>
      <c r="G30" s="15">
        <f t="shared" si="2"/>
        <v>0.43641231593038821</v>
      </c>
      <c r="I30" s="27"/>
      <c r="J30" s="29"/>
    </row>
    <row r="31" spans="1:60" ht="15.75" thickBot="1" x14ac:dyDescent="0.3">
      <c r="A31" s="27" t="s">
        <v>8</v>
      </c>
      <c r="B31" s="6">
        <v>1949</v>
      </c>
      <c r="C31" s="5">
        <f t="shared" si="3"/>
        <v>0.42434138907032443</v>
      </c>
      <c r="E31" s="43" t="s">
        <v>5</v>
      </c>
      <c r="F31" s="3">
        <f>SUM(F25:F30)</f>
        <v>747</v>
      </c>
      <c r="G31" s="2"/>
      <c r="I31" s="28"/>
      <c r="J31" s="2"/>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row>
    <row r="32" spans="1:60" ht="15.75" thickBot="1" x14ac:dyDescent="0.3">
      <c r="A32" s="13" t="s">
        <v>9</v>
      </c>
      <c r="B32" s="14">
        <v>42</v>
      </c>
      <c r="C32" s="15">
        <f t="shared" si="3"/>
        <v>9.1443500979751791E-3</v>
      </c>
      <c r="E32" s="40"/>
      <c r="F32" s="40"/>
      <c r="G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row>
    <row r="33" spans="1:60" ht="52.5" thickBot="1" x14ac:dyDescent="0.35">
      <c r="A33" s="28" t="s">
        <v>5</v>
      </c>
      <c r="B33" s="3">
        <f>SUM(B26:B32)</f>
        <v>4593</v>
      </c>
      <c r="C33" s="2"/>
      <c r="E33" s="71" t="s">
        <v>59</v>
      </c>
      <c r="F33" s="72"/>
      <c r="G33" s="73"/>
      <c r="H33" s="40"/>
      <c r="I33" s="40"/>
      <c r="J33" s="40"/>
      <c r="K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row>
    <row r="34" spans="1:60" ht="15.75" thickBot="1" x14ac:dyDescent="0.3">
      <c r="E34" s="12" t="s">
        <v>6</v>
      </c>
      <c r="F34" s="4" t="s">
        <v>7</v>
      </c>
      <c r="G34" s="11" t="s">
        <v>2</v>
      </c>
      <c r="H34" s="40"/>
      <c r="I34" s="40"/>
      <c r="J34" s="40"/>
      <c r="K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row>
    <row r="35" spans="1:60" ht="35.25" customHeight="1" thickBot="1" x14ac:dyDescent="0.35">
      <c r="A35" s="186" t="s">
        <v>153</v>
      </c>
      <c r="B35" s="187"/>
      <c r="C35" s="188"/>
      <c r="E35" s="42" t="s">
        <v>36</v>
      </c>
      <c r="F35" s="6">
        <f>F25</f>
        <v>27</v>
      </c>
      <c r="G35" s="5">
        <f>F35/$F$37</f>
        <v>0.34177215189873417</v>
      </c>
      <c r="H35" s="40"/>
      <c r="I35" s="40"/>
      <c r="J35" s="40"/>
      <c r="K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row>
    <row r="36" spans="1:60" x14ac:dyDescent="0.25">
      <c r="A36" s="12" t="s">
        <v>0</v>
      </c>
      <c r="B36" s="4" t="s">
        <v>1</v>
      </c>
      <c r="C36" s="11" t="s">
        <v>2</v>
      </c>
      <c r="E36" s="13" t="s">
        <v>37</v>
      </c>
      <c r="F36" s="14">
        <f>F26</f>
        <v>52</v>
      </c>
      <c r="G36" s="15">
        <f>F36/$F$37</f>
        <v>0.65822784810126578</v>
      </c>
      <c r="H36" s="40"/>
      <c r="I36" s="40"/>
      <c r="J36" s="40"/>
      <c r="K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row>
    <row r="37" spans="1:60" ht="15.75" thickBot="1" x14ac:dyDescent="0.3">
      <c r="A37" s="42" t="s">
        <v>3</v>
      </c>
      <c r="B37" s="6">
        <v>6659</v>
      </c>
      <c r="C37" s="5">
        <v>0.95699999999999996</v>
      </c>
      <c r="E37" s="43" t="s">
        <v>5</v>
      </c>
      <c r="F37" s="3">
        <f>SUM(F35:F36)</f>
        <v>79</v>
      </c>
      <c r="G37" s="2"/>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row>
    <row r="38" spans="1:60" ht="15.75" thickBot="1" x14ac:dyDescent="0.3">
      <c r="A38" s="13" t="s">
        <v>4</v>
      </c>
      <c r="B38" s="14">
        <v>302</v>
      </c>
      <c r="C38" s="15">
        <v>4.2999999999999997E-2</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row>
    <row r="39" spans="1:60" ht="52.5" thickBot="1" x14ac:dyDescent="0.35">
      <c r="A39" s="43" t="s">
        <v>5</v>
      </c>
      <c r="B39" s="3">
        <v>6961</v>
      </c>
      <c r="C39" s="48"/>
      <c r="E39" s="71" t="s">
        <v>60</v>
      </c>
      <c r="F39" s="72"/>
      <c r="G39" s="73"/>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row>
    <row r="40" spans="1:60" ht="15.75" thickBot="1" x14ac:dyDescent="0.3">
      <c r="A40" s="40"/>
      <c r="B40" s="40"/>
      <c r="C40" s="40"/>
      <c r="E40" s="12" t="s">
        <v>12</v>
      </c>
      <c r="F40" s="4" t="s">
        <v>1</v>
      </c>
      <c r="G40" s="11" t="s">
        <v>2</v>
      </c>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row>
    <row r="41" spans="1:60" ht="18" thickBot="1" x14ac:dyDescent="0.35">
      <c r="A41" s="77" t="s">
        <v>154</v>
      </c>
      <c r="B41" s="78"/>
      <c r="C41" s="79"/>
      <c r="E41" s="42" t="s">
        <v>15</v>
      </c>
      <c r="F41" s="6">
        <v>186</v>
      </c>
      <c r="G41" s="5">
        <f t="shared" ref="G41:G51" si="4">F41/$F$52</f>
        <v>0.24899598393574296</v>
      </c>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row>
    <row r="42" spans="1:60" x14ac:dyDescent="0.25">
      <c r="A42" s="12" t="s">
        <v>0</v>
      </c>
      <c r="B42" s="4" t="s">
        <v>1</v>
      </c>
      <c r="C42" s="11" t="s">
        <v>2</v>
      </c>
      <c r="E42" s="42" t="s">
        <v>18</v>
      </c>
      <c r="F42" s="6">
        <v>124</v>
      </c>
      <c r="G42" s="5">
        <f t="shared" si="4"/>
        <v>0.16599732262382866</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row>
    <row r="43" spans="1:60" x14ac:dyDescent="0.25">
      <c r="A43" s="42" t="s">
        <v>3</v>
      </c>
      <c r="B43" s="6">
        <v>14025</v>
      </c>
      <c r="C43" s="5">
        <v>0.97899999999999998</v>
      </c>
      <c r="E43" s="42" t="s">
        <v>19</v>
      </c>
      <c r="F43" s="6">
        <v>72</v>
      </c>
      <c r="G43" s="5">
        <f t="shared" si="4"/>
        <v>9.6385542168674704E-2</v>
      </c>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row>
    <row r="44" spans="1:60" x14ac:dyDescent="0.25">
      <c r="A44" s="13" t="s">
        <v>4</v>
      </c>
      <c r="B44" s="14">
        <v>303</v>
      </c>
      <c r="C44" s="15">
        <v>2.1000000000000001E-2</v>
      </c>
      <c r="E44" s="42" t="s">
        <v>14</v>
      </c>
      <c r="F44" s="6">
        <v>69</v>
      </c>
      <c r="G44" s="5">
        <f t="shared" si="4"/>
        <v>9.2369477911646583E-2</v>
      </c>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row>
    <row r="45" spans="1:60" ht="15.75" thickBot="1" x14ac:dyDescent="0.3">
      <c r="A45" s="43" t="s">
        <v>5</v>
      </c>
      <c r="B45" s="3">
        <v>14328</v>
      </c>
      <c r="C45" s="2"/>
      <c r="E45" s="42" t="s">
        <v>13</v>
      </c>
      <c r="F45" s="6">
        <v>65</v>
      </c>
      <c r="G45" s="5">
        <f t="shared" si="4"/>
        <v>8.7014725568942436E-2</v>
      </c>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row>
    <row r="46" spans="1:60" ht="15.75" thickBot="1" x14ac:dyDescent="0.3">
      <c r="E46" s="42" t="s">
        <v>27</v>
      </c>
      <c r="F46" s="6">
        <v>63</v>
      </c>
      <c r="G46" s="5">
        <f t="shared" si="4"/>
        <v>8.4337349397590355E-2</v>
      </c>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row>
    <row r="47" spans="1:60" ht="18" thickBot="1" x14ac:dyDescent="0.35">
      <c r="A47" s="154" t="s">
        <v>41</v>
      </c>
      <c r="B47" s="155"/>
      <c r="C47" s="156"/>
      <c r="E47" s="42" t="s">
        <v>103</v>
      </c>
      <c r="F47" s="6">
        <v>45</v>
      </c>
      <c r="G47" s="5">
        <f t="shared" si="4"/>
        <v>6.0240963855421686E-2</v>
      </c>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row>
    <row r="48" spans="1:60" x14ac:dyDescent="0.25">
      <c r="A48" s="12" t="s">
        <v>6</v>
      </c>
      <c r="B48" s="4" t="s">
        <v>7</v>
      </c>
      <c r="C48" s="11" t="s">
        <v>2</v>
      </c>
      <c r="E48" s="42" t="s">
        <v>32</v>
      </c>
      <c r="F48" s="6">
        <v>27</v>
      </c>
      <c r="G48" s="5">
        <f t="shared" si="4"/>
        <v>3.614457831325301E-2</v>
      </c>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row>
    <row r="49" spans="1:60" x14ac:dyDescent="0.25">
      <c r="A49" s="27" t="s">
        <v>36</v>
      </c>
      <c r="B49" s="6">
        <f>B26</f>
        <v>302</v>
      </c>
      <c r="C49" s="5">
        <f>B49/$B$51</f>
        <v>0.49917355371900829</v>
      </c>
      <c r="E49" s="42" t="s">
        <v>24</v>
      </c>
      <c r="F49" s="6">
        <v>24</v>
      </c>
      <c r="G49" s="5">
        <f t="shared" si="4"/>
        <v>3.2128514056224897E-2</v>
      </c>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row>
    <row r="50" spans="1:60" x14ac:dyDescent="0.25">
      <c r="A50" s="13" t="s">
        <v>37</v>
      </c>
      <c r="B50" s="14">
        <f>B27</f>
        <v>303</v>
      </c>
      <c r="C50" s="15">
        <f>B50/$B$51</f>
        <v>0.50082644628099171</v>
      </c>
      <c r="E50" s="42" t="s">
        <v>16</v>
      </c>
      <c r="F50" s="6">
        <v>17</v>
      </c>
      <c r="G50" s="5">
        <f t="shared" si="4"/>
        <v>2.2757697456492636E-2</v>
      </c>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row>
    <row r="51" spans="1:60" ht="15.75" thickBot="1" x14ac:dyDescent="0.3">
      <c r="A51" s="28" t="s">
        <v>5</v>
      </c>
      <c r="B51" s="3">
        <f>SUM(B49:B50)</f>
        <v>605</v>
      </c>
      <c r="C51" s="2"/>
      <c r="E51" s="13" t="s">
        <v>33</v>
      </c>
      <c r="F51" s="14">
        <v>55</v>
      </c>
      <c r="G51" s="15">
        <f t="shared" si="4"/>
        <v>7.3627844712182061E-2</v>
      </c>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row>
    <row r="52" spans="1:60" s="26" customFormat="1" ht="15.75" thickBot="1" x14ac:dyDescent="0.3">
      <c r="A52" s="20"/>
      <c r="B52" s="20"/>
      <c r="C52" s="20"/>
      <c r="D52" s="20"/>
      <c r="E52" s="43" t="s">
        <v>5</v>
      </c>
      <c r="F52" s="3">
        <f>SUM(F41:F51)</f>
        <v>747</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row>
    <row r="53" spans="1:60" ht="18" thickBot="1" x14ac:dyDescent="0.35">
      <c r="A53" s="74" t="s">
        <v>44</v>
      </c>
      <c r="B53" s="75"/>
      <c r="C53" s="76"/>
      <c r="E53" s="56" t="s">
        <v>141</v>
      </c>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row>
    <row r="54" spans="1:60" ht="15.75" thickBot="1" x14ac:dyDescent="0.3">
      <c r="A54" s="12" t="s">
        <v>45</v>
      </c>
      <c r="B54" s="4" t="s">
        <v>7</v>
      </c>
      <c r="C54" s="11" t="s">
        <v>2</v>
      </c>
      <c r="E54" s="57"/>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row>
    <row r="55" spans="1:60" ht="69.75" thickBot="1" x14ac:dyDescent="0.35">
      <c r="A55" s="42" t="s">
        <v>46</v>
      </c>
      <c r="B55" s="6">
        <v>389</v>
      </c>
      <c r="C55" s="5">
        <f t="shared" ref="C55:C61" si="5">B55/$B$62</f>
        <v>8.4694099716960597E-2</v>
      </c>
      <c r="E55" s="71" t="s">
        <v>61</v>
      </c>
      <c r="F55" s="72"/>
      <c r="G55" s="73"/>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row>
    <row r="56" spans="1:60" ht="17.100000000000001" customHeight="1" x14ac:dyDescent="0.25">
      <c r="A56" s="42" t="s">
        <v>47</v>
      </c>
      <c r="B56" s="6">
        <v>124</v>
      </c>
      <c r="C56" s="5">
        <f t="shared" si="5"/>
        <v>2.6997605051164816E-2</v>
      </c>
      <c r="D56" s="26"/>
      <c r="E56" s="12" t="s">
        <v>12</v>
      </c>
      <c r="F56" s="4" t="s">
        <v>1</v>
      </c>
      <c r="G56" s="11" t="s">
        <v>2</v>
      </c>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row>
    <row r="57" spans="1:60" x14ac:dyDescent="0.25">
      <c r="A57" s="42" t="s">
        <v>48</v>
      </c>
      <c r="B57" s="6">
        <v>404</v>
      </c>
      <c r="C57" s="5">
        <f t="shared" si="5"/>
        <v>8.795993903766601E-2</v>
      </c>
      <c r="E57" s="42" t="s">
        <v>13</v>
      </c>
      <c r="F57" s="6">
        <v>27</v>
      </c>
      <c r="G57" s="5">
        <f>F57/$F$61</f>
        <v>0.34177215189873417</v>
      </c>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row>
    <row r="58" spans="1:60" x14ac:dyDescent="0.25">
      <c r="A58" s="42" t="s">
        <v>49</v>
      </c>
      <c r="B58" s="6">
        <v>733</v>
      </c>
      <c r="C58" s="5">
        <f t="shared" si="5"/>
        <v>0.15959068147180491</v>
      </c>
      <c r="E58" s="42" t="s">
        <v>15</v>
      </c>
      <c r="F58" s="6">
        <v>27</v>
      </c>
      <c r="G58" s="5">
        <f>F58/$F$61</f>
        <v>0.34177215189873417</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row>
    <row r="59" spans="1:60" x14ac:dyDescent="0.25">
      <c r="A59" s="42" t="s">
        <v>50</v>
      </c>
      <c r="B59" s="6">
        <v>828</v>
      </c>
      <c r="C59" s="5">
        <f t="shared" si="5"/>
        <v>0.18027433050293926</v>
      </c>
      <c r="E59" s="42" t="s">
        <v>29</v>
      </c>
      <c r="F59" s="6">
        <v>13</v>
      </c>
      <c r="G59" s="5">
        <f>F59/$F$61</f>
        <v>0.16455696202531644</v>
      </c>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row>
    <row r="60" spans="1:60" x14ac:dyDescent="0.25">
      <c r="A60" s="42" t="s">
        <v>51</v>
      </c>
      <c r="B60" s="6">
        <v>988</v>
      </c>
      <c r="C60" s="5">
        <f t="shared" si="5"/>
        <v>0.21510994992379709</v>
      </c>
      <c r="E60" s="13" t="s">
        <v>23</v>
      </c>
      <c r="F60" s="14">
        <v>12</v>
      </c>
      <c r="G60" s="15">
        <f>F60/$F$61</f>
        <v>0.15189873417721519</v>
      </c>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row>
    <row r="61" spans="1:60" ht="15.75" thickBot="1" x14ac:dyDescent="0.3">
      <c r="A61" s="13" t="s">
        <v>52</v>
      </c>
      <c r="B61" s="14">
        <v>1127</v>
      </c>
      <c r="C61" s="15">
        <f t="shared" si="5"/>
        <v>0.24537339429566732</v>
      </c>
      <c r="E61" s="43" t="s">
        <v>5</v>
      </c>
      <c r="F61" s="3">
        <f>SUM(F57:F60)</f>
        <v>79</v>
      </c>
      <c r="G61" s="2"/>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row>
    <row r="62" spans="1:60" ht="15.75" thickBot="1" x14ac:dyDescent="0.3">
      <c r="A62" s="43" t="s">
        <v>5</v>
      </c>
      <c r="B62" s="3">
        <f>SUM(B55:B61)</f>
        <v>4593</v>
      </c>
      <c r="C62" s="2"/>
      <c r="E62" s="56" t="s">
        <v>141</v>
      </c>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row>
    <row r="63" spans="1:60" ht="15.75" thickBot="1" x14ac:dyDescent="0.3">
      <c r="A63" s="40"/>
      <c r="B63" s="40"/>
      <c r="C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row>
    <row r="64" spans="1:60" ht="52.5" thickBot="1" x14ac:dyDescent="0.35">
      <c r="A64" s="71" t="s">
        <v>53</v>
      </c>
      <c r="B64" s="72"/>
      <c r="C64" s="73"/>
      <c r="E64" s="40" t="s">
        <v>142</v>
      </c>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row>
    <row r="65" spans="1:60" x14ac:dyDescent="0.25">
      <c r="A65" s="12" t="s">
        <v>45</v>
      </c>
      <c r="B65" s="4" t="s">
        <v>7</v>
      </c>
      <c r="C65" s="11" t="s">
        <v>2</v>
      </c>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row>
    <row r="66" spans="1:60" x14ac:dyDescent="0.25">
      <c r="A66" s="42" t="s">
        <v>46</v>
      </c>
      <c r="B66" s="6">
        <v>41</v>
      </c>
      <c r="C66" s="5">
        <f t="shared" ref="C66:C72" si="6">B66/$B$73</f>
        <v>6.7768595041322308E-2</v>
      </c>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row>
    <row r="67" spans="1:60" x14ac:dyDescent="0.25">
      <c r="A67" s="42" t="s">
        <v>47</v>
      </c>
      <c r="B67" s="6">
        <v>0</v>
      </c>
      <c r="C67" s="5">
        <f t="shared" si="6"/>
        <v>0</v>
      </c>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row>
    <row r="68" spans="1:60" x14ac:dyDescent="0.25">
      <c r="A68" s="42" t="s">
        <v>48</v>
      </c>
      <c r="B68" s="6">
        <v>28</v>
      </c>
      <c r="C68" s="5">
        <f t="shared" si="6"/>
        <v>4.6280991735537187E-2</v>
      </c>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row>
    <row r="69" spans="1:60" x14ac:dyDescent="0.25">
      <c r="A69" s="42" t="s">
        <v>49</v>
      </c>
      <c r="B69" s="6">
        <v>125</v>
      </c>
      <c r="C69" s="5">
        <f t="shared" si="6"/>
        <v>0.20661157024793389</v>
      </c>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row>
    <row r="70" spans="1:60" x14ac:dyDescent="0.25">
      <c r="A70" s="42" t="s">
        <v>50</v>
      </c>
      <c r="B70" s="6">
        <v>219</v>
      </c>
      <c r="C70" s="5">
        <f t="shared" si="6"/>
        <v>0.36198347107438017</v>
      </c>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row>
    <row r="71" spans="1:60" x14ac:dyDescent="0.25">
      <c r="A71" s="42" t="s">
        <v>51</v>
      </c>
      <c r="B71" s="6">
        <v>69</v>
      </c>
      <c r="C71" s="5">
        <f t="shared" si="6"/>
        <v>0.1140495867768595</v>
      </c>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row>
    <row r="72" spans="1:60" x14ac:dyDescent="0.25">
      <c r="A72" s="13" t="s">
        <v>52</v>
      </c>
      <c r="B72" s="14">
        <v>123</v>
      </c>
      <c r="C72" s="15">
        <f t="shared" si="6"/>
        <v>0.20330578512396694</v>
      </c>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row>
    <row r="73" spans="1:60" ht="15.75" thickBot="1" x14ac:dyDescent="0.3">
      <c r="A73" s="43" t="s">
        <v>5</v>
      </c>
      <c r="B73" s="3">
        <f>SUM(B66:B72)</f>
        <v>605</v>
      </c>
      <c r="C73" s="2"/>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row>
    <row r="74" spans="1:60" ht="15.75" thickBot="1" x14ac:dyDescent="0.3">
      <c r="H74" s="40"/>
      <c r="I74" s="40"/>
      <c r="J74" s="40"/>
      <c r="K74" s="40"/>
      <c r="L74" s="40"/>
      <c r="M74" s="40"/>
      <c r="N74" s="40"/>
    </row>
    <row r="75" spans="1:60" ht="18" thickBot="1" x14ac:dyDescent="0.35">
      <c r="A75" s="158" t="s">
        <v>11</v>
      </c>
      <c r="B75" s="159"/>
      <c r="C75" s="160"/>
      <c r="H75" s="40"/>
      <c r="I75" s="40"/>
      <c r="J75" s="40"/>
      <c r="K75" s="40"/>
      <c r="L75" s="40"/>
      <c r="M75" s="40"/>
      <c r="N75" s="40"/>
    </row>
    <row r="76" spans="1:60" x14ac:dyDescent="0.25">
      <c r="A76" s="12" t="s">
        <v>12</v>
      </c>
      <c r="B76" s="4" t="s">
        <v>1</v>
      </c>
      <c r="C76" s="11" t="s">
        <v>2</v>
      </c>
      <c r="L76" s="40"/>
      <c r="M76" s="40"/>
      <c r="N76" s="40"/>
    </row>
    <row r="77" spans="1:60" x14ac:dyDescent="0.25">
      <c r="A77" s="18" t="s">
        <v>15</v>
      </c>
      <c r="B77" s="6">
        <v>762</v>
      </c>
      <c r="C77" s="5">
        <f t="shared" ref="C77:C87" si="7">B77/$B$88</f>
        <v>0.1659046374918354</v>
      </c>
      <c r="L77" s="40"/>
      <c r="M77" s="40"/>
      <c r="N77" s="40"/>
    </row>
    <row r="78" spans="1:60" x14ac:dyDescent="0.25">
      <c r="A78" s="18" t="s">
        <v>13</v>
      </c>
      <c r="B78" s="6">
        <v>573</v>
      </c>
      <c r="C78" s="5">
        <f t="shared" si="7"/>
        <v>0.12475506205094709</v>
      </c>
      <c r="L78" s="40"/>
      <c r="M78" s="40"/>
      <c r="N78" s="40"/>
    </row>
    <row r="79" spans="1:60" x14ac:dyDescent="0.25">
      <c r="A79" s="18" t="s">
        <v>14</v>
      </c>
      <c r="B79" s="6">
        <v>505</v>
      </c>
      <c r="C79" s="5">
        <f t="shared" si="7"/>
        <v>0.10994992379708252</v>
      </c>
      <c r="L79" s="40"/>
    </row>
    <row r="80" spans="1:60" x14ac:dyDescent="0.25">
      <c r="A80" s="18" t="s">
        <v>19</v>
      </c>
      <c r="B80" s="6">
        <v>369</v>
      </c>
      <c r="C80" s="5">
        <f t="shared" si="7"/>
        <v>8.0339647289353361E-2</v>
      </c>
    </row>
    <row r="81" spans="1:9" x14ac:dyDescent="0.25">
      <c r="A81" s="18" t="s">
        <v>18</v>
      </c>
      <c r="B81" s="6">
        <v>339</v>
      </c>
      <c r="C81" s="5">
        <f t="shared" si="7"/>
        <v>7.3807968647942521E-2</v>
      </c>
    </row>
    <row r="82" spans="1:9" ht="37.5" customHeight="1" x14ac:dyDescent="0.25">
      <c r="A82" s="18" t="s">
        <v>103</v>
      </c>
      <c r="B82" s="6">
        <v>224</v>
      </c>
      <c r="C82" s="5">
        <f t="shared" si="7"/>
        <v>4.8769867189200955E-2</v>
      </c>
    </row>
    <row r="83" spans="1:9" x14ac:dyDescent="0.25">
      <c r="A83" s="18" t="s">
        <v>32</v>
      </c>
      <c r="B83" s="6">
        <v>216</v>
      </c>
      <c r="C83" s="5">
        <f t="shared" si="7"/>
        <v>4.7028086218158065E-2</v>
      </c>
    </row>
    <row r="84" spans="1:9" x14ac:dyDescent="0.25">
      <c r="A84" s="18" t="s">
        <v>21</v>
      </c>
      <c r="B84" s="6">
        <v>171</v>
      </c>
      <c r="C84" s="5">
        <f t="shared" si="7"/>
        <v>3.7230568256041804E-2</v>
      </c>
    </row>
    <row r="85" spans="1:9" x14ac:dyDescent="0.25">
      <c r="A85" s="18" t="s">
        <v>26</v>
      </c>
      <c r="B85" s="6">
        <v>155</v>
      </c>
      <c r="C85" s="5">
        <f t="shared" si="7"/>
        <v>3.3747006313956017E-2</v>
      </c>
    </row>
    <row r="86" spans="1:9" x14ac:dyDescent="0.25">
      <c r="A86" s="18" t="s">
        <v>27</v>
      </c>
      <c r="B86" s="6">
        <v>143</v>
      </c>
      <c r="C86" s="5">
        <f t="shared" si="7"/>
        <v>3.1134334857391682E-2</v>
      </c>
    </row>
    <row r="87" spans="1:9" x14ac:dyDescent="0.25">
      <c r="A87" s="19" t="s">
        <v>33</v>
      </c>
      <c r="B87" s="14">
        <v>1136</v>
      </c>
      <c r="C87" s="15">
        <f t="shared" si="7"/>
        <v>0.24733289788809057</v>
      </c>
    </row>
    <row r="88" spans="1:9" ht="15.75" thickBot="1" x14ac:dyDescent="0.3">
      <c r="A88" s="43" t="s">
        <v>5</v>
      </c>
      <c r="B88" s="3">
        <f>SUM(B77:B87)</f>
        <v>4593</v>
      </c>
      <c r="C88" s="2"/>
    </row>
    <row r="89" spans="1:9" ht="15.75" thickBot="1" x14ac:dyDescent="0.3">
      <c r="A89" s="40"/>
      <c r="B89" s="40"/>
      <c r="C89" s="40"/>
    </row>
    <row r="90" spans="1:9" ht="52.5" thickBot="1" x14ac:dyDescent="0.35">
      <c r="A90" s="71" t="s">
        <v>42</v>
      </c>
      <c r="B90" s="72"/>
      <c r="C90" s="73"/>
    </row>
    <row r="91" spans="1:9" x14ac:dyDescent="0.25">
      <c r="A91" s="12" t="s">
        <v>12</v>
      </c>
      <c r="B91" s="4" t="s">
        <v>1</v>
      </c>
      <c r="C91" s="11" t="s">
        <v>2</v>
      </c>
    </row>
    <row r="92" spans="1:9" x14ac:dyDescent="0.25">
      <c r="A92" s="42" t="s">
        <v>13</v>
      </c>
      <c r="B92" s="6">
        <v>114</v>
      </c>
      <c r="C92" s="5">
        <f t="shared" ref="C92:C102" si="8">B92/$B$103</f>
        <v>0.1884297520661157</v>
      </c>
      <c r="D92" s="40"/>
      <c r="E92" s="40"/>
      <c r="F92" s="40"/>
      <c r="G92" s="40"/>
      <c r="H92" s="40"/>
      <c r="I92" s="40"/>
    </row>
    <row r="93" spans="1:9" x14ac:dyDescent="0.25">
      <c r="A93" s="42" t="s">
        <v>14</v>
      </c>
      <c r="B93" s="6">
        <v>108</v>
      </c>
      <c r="C93" s="5">
        <f t="shared" si="8"/>
        <v>0.17851239669421487</v>
      </c>
      <c r="D93" s="40"/>
      <c r="E93" s="40"/>
      <c r="F93" s="40"/>
      <c r="G93" s="40"/>
      <c r="H93" s="40"/>
    </row>
    <row r="94" spans="1:9" x14ac:dyDescent="0.25">
      <c r="A94" s="42" t="s">
        <v>15</v>
      </c>
      <c r="B94" s="6">
        <v>80</v>
      </c>
      <c r="C94" s="5">
        <f t="shared" si="8"/>
        <v>0.13223140495867769</v>
      </c>
      <c r="D94" s="40"/>
      <c r="E94" s="40"/>
      <c r="F94" s="40"/>
      <c r="G94" s="40"/>
      <c r="H94" s="40"/>
    </row>
    <row r="95" spans="1:9" x14ac:dyDescent="0.25">
      <c r="A95" s="42" t="s">
        <v>17</v>
      </c>
      <c r="B95" s="6">
        <v>59</v>
      </c>
      <c r="C95" s="5">
        <f t="shared" si="8"/>
        <v>9.7520661157024791E-2</v>
      </c>
      <c r="D95" s="40"/>
      <c r="E95" s="40"/>
      <c r="F95" s="40"/>
      <c r="G95" s="40"/>
      <c r="H95" s="40"/>
    </row>
    <row r="96" spans="1:9" x14ac:dyDescent="0.25">
      <c r="A96" s="42" t="s">
        <v>19</v>
      </c>
      <c r="B96" s="6">
        <v>53</v>
      </c>
      <c r="C96" s="5">
        <f t="shared" si="8"/>
        <v>8.7603305785123972E-2</v>
      </c>
    </row>
    <row r="97" spans="1:3" x14ac:dyDescent="0.25">
      <c r="A97" s="42" t="s">
        <v>23</v>
      </c>
      <c r="B97" s="6">
        <v>40</v>
      </c>
      <c r="C97" s="5">
        <f t="shared" si="8"/>
        <v>6.6115702479338845E-2</v>
      </c>
    </row>
    <row r="98" spans="1:3" x14ac:dyDescent="0.25">
      <c r="A98" s="42" t="s">
        <v>110</v>
      </c>
      <c r="B98" s="6">
        <v>39</v>
      </c>
      <c r="C98" s="5">
        <f t="shared" si="8"/>
        <v>6.4462809917355368E-2</v>
      </c>
    </row>
    <row r="99" spans="1:3" x14ac:dyDescent="0.25">
      <c r="A99" s="42" t="s">
        <v>30</v>
      </c>
      <c r="B99" s="6">
        <v>31</v>
      </c>
      <c r="C99" s="5">
        <f t="shared" si="8"/>
        <v>5.1239669421487603E-2</v>
      </c>
    </row>
    <row r="100" spans="1:3" x14ac:dyDescent="0.25">
      <c r="A100" s="42" t="s">
        <v>29</v>
      </c>
      <c r="B100" s="6">
        <v>28</v>
      </c>
      <c r="C100" s="5">
        <f t="shared" si="8"/>
        <v>4.6280991735537187E-2</v>
      </c>
    </row>
    <row r="101" spans="1:3" x14ac:dyDescent="0.25">
      <c r="A101" s="42" t="s">
        <v>22</v>
      </c>
      <c r="B101" s="6">
        <v>23</v>
      </c>
      <c r="C101" s="5">
        <f t="shared" si="8"/>
        <v>3.8016528925619832E-2</v>
      </c>
    </row>
    <row r="102" spans="1:3" x14ac:dyDescent="0.25">
      <c r="A102" s="13" t="s">
        <v>33</v>
      </c>
      <c r="B102" s="14">
        <v>30</v>
      </c>
      <c r="C102" s="15">
        <f t="shared" si="8"/>
        <v>4.9586776859504134E-2</v>
      </c>
    </row>
    <row r="103" spans="1:3" ht="15.75" thickBot="1" x14ac:dyDescent="0.3">
      <c r="A103" s="43" t="s">
        <v>5</v>
      </c>
      <c r="B103" s="3">
        <f>SUM(B92:B102)</f>
        <v>605</v>
      </c>
      <c r="C103" s="2"/>
    </row>
    <row r="104" spans="1:3" ht="33" customHeight="1" x14ac:dyDescent="0.25">
      <c r="A104" s="49"/>
      <c r="B104" s="6"/>
      <c r="C104" s="49"/>
    </row>
    <row r="105" spans="1:3" x14ac:dyDescent="0.25">
      <c r="A105" s="51" t="s">
        <v>137</v>
      </c>
      <c r="B105" s="52"/>
      <c r="C105" s="53"/>
    </row>
    <row r="106" spans="1:3" x14ac:dyDescent="0.25">
      <c r="A106" s="54" t="s">
        <v>138</v>
      </c>
      <c r="B106" s="52"/>
      <c r="C106" s="53"/>
    </row>
    <row r="107" spans="1:3" x14ac:dyDescent="0.25">
      <c r="A107" s="54" t="s">
        <v>139</v>
      </c>
      <c r="B107" s="52"/>
      <c r="C107" s="53"/>
    </row>
    <row r="108" spans="1:3" x14ac:dyDescent="0.25">
      <c r="A108" s="40"/>
      <c r="B108" s="40"/>
      <c r="C108" s="40"/>
    </row>
    <row r="115" ht="35.25" customHeight="1" x14ac:dyDescent="0.25"/>
    <row r="125" ht="33.75" customHeight="1" x14ac:dyDescent="0.25"/>
    <row r="131" ht="36.75" customHeight="1" x14ac:dyDescent="0.25"/>
    <row r="147" spans="4:9" ht="33.75" customHeight="1" x14ac:dyDescent="0.25"/>
    <row r="156" spans="4:9" x14ac:dyDescent="0.25">
      <c r="D156" s="40"/>
      <c r="E156" s="40"/>
      <c r="F156" s="40"/>
      <c r="G156" s="40"/>
      <c r="H156" s="40"/>
      <c r="I156" s="40"/>
    </row>
    <row r="157" spans="4:9" x14ac:dyDescent="0.25">
      <c r="D157" s="40"/>
      <c r="E157" s="40"/>
      <c r="F157" s="40"/>
      <c r="G157" s="40"/>
      <c r="H157" s="40"/>
      <c r="I157" s="40"/>
    </row>
    <row r="169" spans="1:3" x14ac:dyDescent="0.25">
      <c r="A169" s="40"/>
      <c r="B169" s="40"/>
      <c r="C169" s="40"/>
    </row>
    <row r="170" spans="1:3" x14ac:dyDescent="0.25">
      <c r="A170" s="40"/>
      <c r="B170" s="40"/>
      <c r="C170" s="40"/>
    </row>
  </sheetData>
  <mergeCells count="8">
    <mergeCell ref="A47:C47"/>
    <mergeCell ref="A75:C75"/>
    <mergeCell ref="A1:F1"/>
    <mergeCell ref="A5:C5"/>
    <mergeCell ref="I5:J5"/>
    <mergeCell ref="A12:C12"/>
    <mergeCell ref="A24:C24"/>
    <mergeCell ref="A35:C3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7"/>
  <sheetViews>
    <sheetView topLeftCell="A87" workbookViewId="0">
      <selection activeCell="E39" sqref="E39:G68"/>
    </sheetView>
  </sheetViews>
  <sheetFormatPr defaultColWidth="8.85546875" defaultRowHeight="15" x14ac:dyDescent="0.25"/>
  <cols>
    <col min="1" max="1" width="28.140625" style="30" bestFit="1" customWidth="1"/>
    <col min="2" max="2" width="10.7109375" style="30" bestFit="1" customWidth="1"/>
    <col min="3" max="3" width="7.85546875" style="30" customWidth="1"/>
    <col min="4" max="4" width="8.85546875" style="30"/>
    <col min="5" max="5" width="33.85546875" style="30" bestFit="1" customWidth="1"/>
    <col min="6" max="6" width="18.42578125" style="30" bestFit="1" customWidth="1"/>
    <col min="7" max="7" width="14.85546875" style="30" customWidth="1"/>
    <col min="8" max="8" width="8.85546875" style="30"/>
    <col min="9" max="9" width="10.42578125" style="30" bestFit="1" customWidth="1"/>
    <col min="10" max="16384" width="8.85546875" style="30"/>
  </cols>
  <sheetData>
    <row r="1" spans="1:14" ht="21" x14ac:dyDescent="0.35">
      <c r="A1" s="171" t="s">
        <v>105</v>
      </c>
      <c r="B1" s="171"/>
      <c r="C1" s="171"/>
      <c r="D1" s="171"/>
      <c r="E1" s="171"/>
      <c r="F1" s="171"/>
    </row>
    <row r="2" spans="1:14" ht="21" x14ac:dyDescent="0.35">
      <c r="A2" s="50" t="s">
        <v>135</v>
      </c>
      <c r="B2" s="50"/>
      <c r="C2" s="40"/>
      <c r="D2" s="40"/>
      <c r="E2" s="40"/>
      <c r="F2" s="66"/>
      <c r="G2" s="40"/>
      <c r="H2" s="40"/>
      <c r="I2" s="40"/>
      <c r="J2" s="40"/>
      <c r="K2" s="40"/>
      <c r="L2" s="40"/>
      <c r="M2" s="40"/>
      <c r="N2" s="40"/>
    </row>
    <row r="3" spans="1:14" ht="21" x14ac:dyDescent="0.35">
      <c r="A3" s="40" t="s">
        <v>136</v>
      </c>
      <c r="B3" s="40"/>
      <c r="C3" s="40"/>
      <c r="D3" s="40"/>
      <c r="E3" s="40"/>
      <c r="F3" s="66"/>
      <c r="G3" s="40"/>
      <c r="H3" s="40"/>
      <c r="I3" s="40"/>
      <c r="J3" s="40"/>
      <c r="K3" s="40"/>
      <c r="L3" s="40"/>
      <c r="M3" s="40"/>
      <c r="N3" s="40"/>
    </row>
    <row r="4" spans="1:14" ht="15.75" thickBot="1" x14ac:dyDescent="0.3">
      <c r="J4" s="40"/>
      <c r="K4" s="40"/>
      <c r="L4" s="40"/>
      <c r="M4" s="40"/>
    </row>
    <row r="5" spans="1:14" ht="18" thickBot="1" x14ac:dyDescent="0.35">
      <c r="A5" s="158" t="s">
        <v>34</v>
      </c>
      <c r="B5" s="159"/>
      <c r="C5" s="160"/>
      <c r="E5" s="74" t="s">
        <v>132</v>
      </c>
      <c r="F5" s="75"/>
      <c r="G5" s="76"/>
      <c r="I5" s="158" t="s">
        <v>62</v>
      </c>
      <c r="J5" s="160"/>
    </row>
    <row r="6" spans="1:14" x14ac:dyDescent="0.25">
      <c r="A6" s="12" t="s">
        <v>0</v>
      </c>
      <c r="B6" s="4" t="s">
        <v>1</v>
      </c>
      <c r="C6" s="11" t="s">
        <v>2</v>
      </c>
      <c r="E6" s="12" t="s">
        <v>54</v>
      </c>
      <c r="F6" s="4" t="s">
        <v>1</v>
      </c>
      <c r="G6" s="11" t="s">
        <v>2</v>
      </c>
      <c r="I6" s="17" t="s">
        <v>106</v>
      </c>
      <c r="J6" s="34"/>
    </row>
    <row r="7" spans="1:14" x14ac:dyDescent="0.25">
      <c r="A7" s="32" t="s">
        <v>3</v>
      </c>
      <c r="B7" s="6">
        <v>79845</v>
      </c>
      <c r="C7" s="5">
        <f>B7/$B$9</f>
        <v>0.81308553971486763</v>
      </c>
      <c r="E7" s="42" t="s">
        <v>55</v>
      </c>
      <c r="F7" s="6">
        <v>34942</v>
      </c>
      <c r="G7" s="5">
        <f>F7/$F$9</f>
        <v>0.88545942932441335</v>
      </c>
      <c r="I7" s="32"/>
      <c r="J7" s="34"/>
    </row>
    <row r="8" spans="1:14" x14ac:dyDescent="0.25">
      <c r="A8" s="13" t="s">
        <v>4</v>
      </c>
      <c r="B8" s="14">
        <v>18355</v>
      </c>
      <c r="C8" s="15">
        <f>B8/$B$9</f>
        <v>0.18691446028513239</v>
      </c>
      <c r="E8" s="13" t="s">
        <v>58</v>
      </c>
      <c r="F8" s="14">
        <v>4520</v>
      </c>
      <c r="G8" s="15">
        <f>F8/$F$9</f>
        <v>0.11454057067558664</v>
      </c>
      <c r="I8" s="32"/>
      <c r="J8" s="34"/>
    </row>
    <row r="9" spans="1:14" ht="15.75" thickBot="1" x14ac:dyDescent="0.3">
      <c r="A9" s="33" t="s">
        <v>5</v>
      </c>
      <c r="B9" s="3">
        <f>SUM(B7:B8)</f>
        <v>98200</v>
      </c>
      <c r="C9" s="2"/>
      <c r="E9" s="43" t="s">
        <v>5</v>
      </c>
      <c r="F9" s="3">
        <f>SUM(F7:F8)</f>
        <v>39462</v>
      </c>
      <c r="G9" s="2"/>
      <c r="I9" s="32"/>
      <c r="J9" s="34"/>
    </row>
    <row r="10" spans="1:14" x14ac:dyDescent="0.25">
      <c r="A10" s="40" t="s">
        <v>156</v>
      </c>
      <c r="E10" s="40" t="s">
        <v>148</v>
      </c>
      <c r="F10" s="40"/>
      <c r="G10" s="40"/>
      <c r="I10" s="32"/>
      <c r="J10" s="34"/>
    </row>
    <row r="11" spans="1:14" ht="15.75" thickBot="1" x14ac:dyDescent="0.3">
      <c r="A11" s="40"/>
      <c r="B11" s="40"/>
      <c r="C11" s="40"/>
      <c r="E11" s="40"/>
      <c r="F11" s="40"/>
      <c r="G11" s="40"/>
      <c r="I11" s="32"/>
      <c r="J11" s="34"/>
    </row>
    <row r="12" spans="1:14" ht="35.25" thickBot="1" x14ac:dyDescent="0.35">
      <c r="A12" s="158" t="s">
        <v>35</v>
      </c>
      <c r="B12" s="159"/>
      <c r="C12" s="160"/>
      <c r="E12" s="71" t="s">
        <v>56</v>
      </c>
      <c r="F12" s="72"/>
      <c r="G12" s="73"/>
      <c r="I12" s="32"/>
      <c r="J12" s="34"/>
    </row>
    <row r="13" spans="1:14" x14ac:dyDescent="0.25">
      <c r="A13" s="12" t="s">
        <v>6</v>
      </c>
      <c r="B13" s="4" t="s">
        <v>7</v>
      </c>
      <c r="C13" s="11" t="s">
        <v>2</v>
      </c>
      <c r="E13" s="12" t="s">
        <v>6</v>
      </c>
      <c r="F13" s="4" t="s">
        <v>7</v>
      </c>
      <c r="G13" s="11" t="s">
        <v>2</v>
      </c>
      <c r="I13" s="32"/>
      <c r="J13" s="34"/>
    </row>
    <row r="14" spans="1:14" x14ac:dyDescent="0.25">
      <c r="A14" s="32" t="s">
        <v>36</v>
      </c>
      <c r="B14" s="6">
        <v>15312</v>
      </c>
      <c r="C14" s="5">
        <f>B14/$B$21</f>
        <v>0.15592668024439918</v>
      </c>
      <c r="E14" s="42" t="s">
        <v>36</v>
      </c>
      <c r="F14" s="6">
        <v>3419</v>
      </c>
      <c r="G14" s="5">
        <f t="shared" ref="G14:G19" si="0">F14/$F$20</f>
        <v>0.14418251591953782</v>
      </c>
      <c r="I14" s="32"/>
      <c r="J14" s="34"/>
    </row>
    <row r="15" spans="1:14" x14ac:dyDescent="0.25">
      <c r="A15" s="32" t="s">
        <v>37</v>
      </c>
      <c r="B15" s="6">
        <v>17336</v>
      </c>
      <c r="C15" s="5">
        <f t="shared" ref="C15:C20" si="1">B15/$B$21</f>
        <v>0.1765376782077393</v>
      </c>
      <c r="E15" s="42" t="s">
        <v>37</v>
      </c>
      <c r="F15" s="6">
        <v>4075</v>
      </c>
      <c r="G15" s="5">
        <f t="shared" si="0"/>
        <v>0.17184666638552692</v>
      </c>
      <c r="I15" s="32"/>
      <c r="J15" s="34"/>
    </row>
    <row r="16" spans="1:14" x14ac:dyDescent="0.25">
      <c r="A16" s="32" t="s">
        <v>38</v>
      </c>
      <c r="B16" s="6">
        <v>16994</v>
      </c>
      <c r="C16" s="5">
        <f t="shared" si="1"/>
        <v>0.17305498981670062</v>
      </c>
      <c r="E16" s="42" t="s">
        <v>38</v>
      </c>
      <c r="F16" s="6">
        <v>4169</v>
      </c>
      <c r="G16" s="5">
        <f t="shared" si="0"/>
        <v>0.17581073672669001</v>
      </c>
      <c r="I16" s="32"/>
      <c r="J16" s="34"/>
    </row>
    <row r="17" spans="1:55" x14ac:dyDescent="0.25">
      <c r="A17" s="32" t="s">
        <v>39</v>
      </c>
      <c r="B17" s="6">
        <v>15297</v>
      </c>
      <c r="C17" s="5">
        <f t="shared" si="1"/>
        <v>0.15577393075356416</v>
      </c>
      <c r="E17" s="42" t="s">
        <v>39</v>
      </c>
      <c r="F17" s="6">
        <v>3583</v>
      </c>
      <c r="G17" s="5">
        <f t="shared" si="0"/>
        <v>0.15109855353603507</v>
      </c>
      <c r="I17" s="32"/>
      <c r="J17" s="34"/>
    </row>
    <row r="18" spans="1:55" x14ac:dyDescent="0.25">
      <c r="A18" s="32" t="s">
        <v>40</v>
      </c>
      <c r="B18" s="6">
        <v>9460</v>
      </c>
      <c r="C18" s="5">
        <f t="shared" si="1"/>
        <v>9.633401221995927E-2</v>
      </c>
      <c r="E18" s="42" t="s">
        <v>40</v>
      </c>
      <c r="F18" s="6">
        <v>2480</v>
      </c>
      <c r="G18" s="5">
        <f t="shared" si="0"/>
        <v>0.10458398346898326</v>
      </c>
      <c r="I18" s="32"/>
      <c r="J18" s="34"/>
    </row>
    <row r="19" spans="1:55" x14ac:dyDescent="0.25">
      <c r="A19" s="32" t="s">
        <v>8</v>
      </c>
      <c r="B19" s="6">
        <v>20448</v>
      </c>
      <c r="C19" s="5">
        <f t="shared" si="1"/>
        <v>0.20822810590631363</v>
      </c>
      <c r="E19" s="13" t="s">
        <v>8</v>
      </c>
      <c r="F19" s="14">
        <v>5987</v>
      </c>
      <c r="G19" s="15">
        <f t="shared" si="0"/>
        <v>0.25247754396322691</v>
      </c>
      <c r="I19" s="32"/>
      <c r="J19" s="34"/>
    </row>
    <row r="20" spans="1:55" ht="15.75" thickBot="1" x14ac:dyDescent="0.3">
      <c r="A20" s="13" t="s">
        <v>9</v>
      </c>
      <c r="B20" s="14">
        <v>3353</v>
      </c>
      <c r="C20" s="15">
        <f t="shared" si="1"/>
        <v>3.4144602851323827E-2</v>
      </c>
      <c r="E20" s="43" t="s">
        <v>5</v>
      </c>
      <c r="F20" s="3">
        <f>SUM(F14:F19)</f>
        <v>23713</v>
      </c>
      <c r="G20" s="2"/>
      <c r="I20" s="32"/>
      <c r="J20" s="34"/>
    </row>
    <row r="21" spans="1:55" ht="15.75" thickBot="1" x14ac:dyDescent="0.3">
      <c r="A21" s="33" t="s">
        <v>5</v>
      </c>
      <c r="B21" s="3">
        <f>SUM(B14:B20)</f>
        <v>98200</v>
      </c>
      <c r="C21" s="2"/>
      <c r="E21" s="55" t="s">
        <v>140</v>
      </c>
      <c r="F21" s="40"/>
      <c r="G21" s="40"/>
      <c r="I21" s="32"/>
      <c r="J21" s="34"/>
    </row>
    <row r="22" spans="1:55" ht="15.75" thickBot="1" x14ac:dyDescent="0.3">
      <c r="A22" s="40" t="s">
        <v>156</v>
      </c>
      <c r="E22" s="67"/>
      <c r="F22" s="40"/>
      <c r="G22" s="40"/>
      <c r="I22" s="32"/>
      <c r="J22" s="34"/>
    </row>
    <row r="23" spans="1:55" ht="52.5" thickBot="1" x14ac:dyDescent="0.35">
      <c r="A23" s="40"/>
      <c r="B23" s="40"/>
      <c r="C23" s="40"/>
      <c r="E23" s="71" t="s">
        <v>57</v>
      </c>
      <c r="F23" s="72"/>
      <c r="G23" s="73"/>
      <c r="I23" s="32"/>
      <c r="J23" s="34"/>
    </row>
    <row r="24" spans="1:55" ht="18" thickBot="1" x14ac:dyDescent="0.35">
      <c r="A24" s="158" t="s">
        <v>10</v>
      </c>
      <c r="B24" s="159"/>
      <c r="C24" s="160"/>
      <c r="E24" s="12" t="s">
        <v>6</v>
      </c>
      <c r="F24" s="4" t="s">
        <v>7</v>
      </c>
      <c r="G24" s="11" t="s">
        <v>2</v>
      </c>
      <c r="I24" s="32"/>
      <c r="J24" s="34"/>
    </row>
    <row r="25" spans="1:55" x14ac:dyDescent="0.25">
      <c r="A25" s="12" t="s">
        <v>6</v>
      </c>
      <c r="B25" s="4" t="s">
        <v>7</v>
      </c>
      <c r="C25" s="11" t="s">
        <v>2</v>
      </c>
      <c r="E25" s="42" t="s">
        <v>36</v>
      </c>
      <c r="F25" s="6">
        <v>683</v>
      </c>
      <c r="G25" s="5">
        <f t="shared" ref="G25:G30" si="2">F25/$F$31</f>
        <v>0.2571536144578313</v>
      </c>
      <c r="I25" s="32"/>
      <c r="J25" s="34"/>
    </row>
    <row r="26" spans="1:55" x14ac:dyDescent="0.25">
      <c r="A26" s="32" t="s">
        <v>36</v>
      </c>
      <c r="B26" s="6">
        <v>3756</v>
      </c>
      <c r="C26" s="5">
        <f>B26/$B$33</f>
        <v>0.20463089076545901</v>
      </c>
      <c r="E26" s="42" t="s">
        <v>37</v>
      </c>
      <c r="F26" s="6">
        <v>721</v>
      </c>
      <c r="G26" s="5">
        <f t="shared" si="2"/>
        <v>0.27146084337349397</v>
      </c>
      <c r="I26" s="32"/>
      <c r="J26" s="34"/>
    </row>
    <row r="27" spans="1:55" x14ac:dyDescent="0.25">
      <c r="A27" s="32" t="s">
        <v>37</v>
      </c>
      <c r="B27" s="6">
        <v>4340</v>
      </c>
      <c r="C27" s="5">
        <f t="shared" ref="C27:C32" si="3">B27/$B$33</f>
        <v>0.23644783437755379</v>
      </c>
      <c r="E27" s="42" t="s">
        <v>38</v>
      </c>
      <c r="F27" s="6">
        <v>526</v>
      </c>
      <c r="G27" s="5">
        <f t="shared" si="2"/>
        <v>0.19804216867469879</v>
      </c>
      <c r="I27" s="32"/>
      <c r="J27" s="34"/>
    </row>
    <row r="28" spans="1:55" x14ac:dyDescent="0.25">
      <c r="A28" s="32" t="s">
        <v>38</v>
      </c>
      <c r="B28" s="6">
        <v>4127</v>
      </c>
      <c r="C28" s="5">
        <f t="shared" si="3"/>
        <v>0.22484336692999182</v>
      </c>
      <c r="E28" s="42" t="s">
        <v>39</v>
      </c>
      <c r="F28" s="6">
        <v>282</v>
      </c>
      <c r="G28" s="5">
        <f t="shared" si="2"/>
        <v>0.10617469879518072</v>
      </c>
      <c r="I28" s="32"/>
      <c r="J28" s="34"/>
      <c r="O28" s="40"/>
    </row>
    <row r="29" spans="1:55" x14ac:dyDescent="0.25">
      <c r="A29" s="32" t="s">
        <v>39</v>
      </c>
      <c r="B29" s="6">
        <v>2828</v>
      </c>
      <c r="C29" s="5">
        <f t="shared" si="3"/>
        <v>0.15407245982021248</v>
      </c>
      <c r="E29" s="42" t="s">
        <v>40</v>
      </c>
      <c r="F29" s="6">
        <v>213</v>
      </c>
      <c r="G29" s="5">
        <f t="shared" si="2"/>
        <v>8.0195783132530118E-2</v>
      </c>
      <c r="I29" s="32"/>
      <c r="J29" s="34"/>
      <c r="O29" s="40"/>
    </row>
    <row r="30" spans="1:55" x14ac:dyDescent="0.25">
      <c r="A30" s="32" t="s">
        <v>40</v>
      </c>
      <c r="B30" s="6">
        <v>1569</v>
      </c>
      <c r="C30" s="5">
        <f t="shared" si="3"/>
        <v>8.54807954235903E-2</v>
      </c>
      <c r="E30" s="13" t="s">
        <v>8</v>
      </c>
      <c r="F30" s="14">
        <v>231</v>
      </c>
      <c r="G30" s="15">
        <f t="shared" si="2"/>
        <v>8.6972891566265059E-2</v>
      </c>
      <c r="I30" s="32"/>
      <c r="J30" s="34"/>
      <c r="O30" s="40"/>
    </row>
    <row r="31" spans="1:55" ht="34.5" customHeight="1" thickBot="1" x14ac:dyDescent="0.3">
      <c r="A31" s="32" t="s">
        <v>8</v>
      </c>
      <c r="B31" s="6">
        <v>1564</v>
      </c>
      <c r="C31" s="5">
        <f t="shared" si="3"/>
        <v>8.5208390084445654E-2</v>
      </c>
      <c r="E31" s="43" t="s">
        <v>5</v>
      </c>
      <c r="F31" s="3">
        <f>SUM(F25:F30)</f>
        <v>2656</v>
      </c>
      <c r="G31" s="2"/>
      <c r="I31" s="33"/>
      <c r="J31" s="2"/>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row>
    <row r="32" spans="1:55" ht="15.75" thickBot="1" x14ac:dyDescent="0.3">
      <c r="A32" s="13" t="s">
        <v>9</v>
      </c>
      <c r="B32" s="14">
        <v>171</v>
      </c>
      <c r="C32" s="15">
        <f t="shared" si="3"/>
        <v>9.3162625987469362E-3</v>
      </c>
      <c r="E32" s="40"/>
      <c r="F32" s="40"/>
      <c r="G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row>
    <row r="33" spans="1:55" ht="52.5" thickBot="1" x14ac:dyDescent="0.35">
      <c r="A33" s="33" t="s">
        <v>5</v>
      </c>
      <c r="B33" s="3">
        <f>SUM(B26:B32)</f>
        <v>18355</v>
      </c>
      <c r="C33" s="2"/>
      <c r="E33" s="71" t="s">
        <v>59</v>
      </c>
      <c r="F33" s="72"/>
      <c r="G33" s="73"/>
      <c r="H33" s="40"/>
      <c r="I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row>
    <row r="34" spans="1:55" ht="15.75" thickBot="1" x14ac:dyDescent="0.3">
      <c r="E34" s="12" t="s">
        <v>6</v>
      </c>
      <c r="F34" s="4" t="s">
        <v>7</v>
      </c>
      <c r="G34" s="11" t="s">
        <v>2</v>
      </c>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row>
    <row r="35" spans="1:55" ht="33" customHeight="1" thickBot="1" x14ac:dyDescent="0.35">
      <c r="A35" s="186" t="s">
        <v>153</v>
      </c>
      <c r="B35" s="187"/>
      <c r="C35" s="188"/>
      <c r="E35" s="42" t="s">
        <v>36</v>
      </c>
      <c r="F35" s="6">
        <f>F25</f>
        <v>683</v>
      </c>
      <c r="G35" s="5">
        <f>F35/$F$37</f>
        <v>0.48646723646723644</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row>
    <row r="36" spans="1:55" x14ac:dyDescent="0.25">
      <c r="A36" s="12" t="s">
        <v>0</v>
      </c>
      <c r="B36" s="4" t="s">
        <v>1</v>
      </c>
      <c r="C36" s="11" t="s">
        <v>2</v>
      </c>
      <c r="E36" s="13" t="s">
        <v>37</v>
      </c>
      <c r="F36" s="14">
        <f>F26</f>
        <v>721</v>
      </c>
      <c r="G36" s="15">
        <f>F36/$F$37</f>
        <v>0.51353276353276356</v>
      </c>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row>
    <row r="37" spans="1:55" ht="15.75" thickBot="1" x14ac:dyDescent="0.3">
      <c r="A37" s="42" t="s">
        <v>3</v>
      </c>
      <c r="B37" s="6">
        <v>11556</v>
      </c>
      <c r="C37" s="5">
        <v>0.755</v>
      </c>
      <c r="E37" s="43" t="s">
        <v>5</v>
      </c>
      <c r="F37" s="3">
        <f>SUM(F35:F36)</f>
        <v>1404</v>
      </c>
      <c r="G37" s="2"/>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1:55" ht="15.75" thickBot="1" x14ac:dyDescent="0.3">
      <c r="A38" s="13" t="s">
        <v>4</v>
      </c>
      <c r="B38" s="14">
        <v>3756</v>
      </c>
      <c r="C38" s="15">
        <v>0.245</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row>
    <row r="39" spans="1:55" ht="52.5" thickBot="1" x14ac:dyDescent="0.35">
      <c r="A39" s="43" t="s">
        <v>5</v>
      </c>
      <c r="B39" s="3">
        <v>15312</v>
      </c>
      <c r="C39" s="48"/>
      <c r="E39" s="71" t="s">
        <v>60</v>
      </c>
      <c r="F39" s="72"/>
      <c r="G39" s="73"/>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row>
    <row r="40" spans="1:55" ht="15.75" thickBot="1" x14ac:dyDescent="0.3">
      <c r="A40" s="40"/>
      <c r="B40" s="40"/>
      <c r="C40" s="40"/>
      <c r="E40" s="12" t="s">
        <v>12</v>
      </c>
      <c r="F40" s="4" t="s">
        <v>1</v>
      </c>
      <c r="G40" s="11" t="s">
        <v>2</v>
      </c>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row>
    <row r="41" spans="1:55" ht="18" thickBot="1" x14ac:dyDescent="0.35">
      <c r="A41" s="77" t="s">
        <v>154</v>
      </c>
      <c r="B41" s="78"/>
      <c r="C41" s="79"/>
      <c r="E41" s="42" t="s">
        <v>13</v>
      </c>
      <c r="F41" s="6">
        <v>977</v>
      </c>
      <c r="G41" s="5">
        <f t="shared" ref="G41:G51" si="4">F41/$F$52</f>
        <v>0.3678463855421687</v>
      </c>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row>
    <row r="42" spans="1:55" x14ac:dyDescent="0.25">
      <c r="A42" s="12" t="s">
        <v>0</v>
      </c>
      <c r="B42" s="4" t="s">
        <v>1</v>
      </c>
      <c r="C42" s="11" t="s">
        <v>2</v>
      </c>
      <c r="E42" s="42" t="s">
        <v>14</v>
      </c>
      <c r="F42" s="6">
        <v>579</v>
      </c>
      <c r="G42" s="5">
        <f t="shared" si="4"/>
        <v>0.21799698795180722</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row>
    <row r="43" spans="1:55" x14ac:dyDescent="0.25">
      <c r="A43" s="42" t="s">
        <v>3</v>
      </c>
      <c r="B43" s="6">
        <v>12996</v>
      </c>
      <c r="C43" s="5">
        <v>0.75</v>
      </c>
      <c r="E43" s="42" t="s">
        <v>133</v>
      </c>
      <c r="F43" s="6">
        <v>484</v>
      </c>
      <c r="G43" s="5">
        <f t="shared" si="4"/>
        <v>0.18222891566265059</v>
      </c>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row>
    <row r="44" spans="1:55" x14ac:dyDescent="0.25">
      <c r="A44" s="13" t="s">
        <v>4</v>
      </c>
      <c r="B44" s="14">
        <v>4340</v>
      </c>
      <c r="C44" s="15">
        <v>0.25</v>
      </c>
      <c r="E44" s="42" t="s">
        <v>17</v>
      </c>
      <c r="F44" s="6">
        <v>185</v>
      </c>
      <c r="G44" s="5">
        <f t="shared" si="4"/>
        <v>6.9653614457831331E-2</v>
      </c>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row>
    <row r="45" spans="1:55" ht="15.75" thickBot="1" x14ac:dyDescent="0.3">
      <c r="A45" s="43" t="s">
        <v>5</v>
      </c>
      <c r="B45" s="3">
        <v>17336</v>
      </c>
      <c r="C45" s="2"/>
      <c r="E45" s="42" t="s">
        <v>26</v>
      </c>
      <c r="F45" s="6">
        <v>88</v>
      </c>
      <c r="G45" s="5">
        <f t="shared" si="4"/>
        <v>3.313253012048193E-2</v>
      </c>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row>
    <row r="46" spans="1:55" ht="15.75" thickBot="1" x14ac:dyDescent="0.3">
      <c r="E46" s="42" t="s">
        <v>109</v>
      </c>
      <c r="F46" s="6">
        <v>47</v>
      </c>
      <c r="G46" s="5">
        <f t="shared" si="4"/>
        <v>1.7695783132530122E-2</v>
      </c>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row>
    <row r="47" spans="1:55" ht="18" thickBot="1" x14ac:dyDescent="0.35">
      <c r="A47" s="154" t="s">
        <v>41</v>
      </c>
      <c r="B47" s="155"/>
      <c r="C47" s="156"/>
      <c r="E47" s="85" t="s">
        <v>166</v>
      </c>
      <c r="F47" s="6">
        <v>41</v>
      </c>
      <c r="G47" s="5">
        <f t="shared" si="4"/>
        <v>1.5436746987951807E-2</v>
      </c>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row>
    <row r="48" spans="1:55" x14ac:dyDescent="0.25">
      <c r="A48" s="12" t="s">
        <v>6</v>
      </c>
      <c r="B48" s="4" t="s">
        <v>7</v>
      </c>
      <c r="C48" s="11" t="s">
        <v>2</v>
      </c>
      <c r="E48" s="42" t="s">
        <v>107</v>
      </c>
      <c r="F48" s="6">
        <v>36</v>
      </c>
      <c r="G48" s="5">
        <f t="shared" si="4"/>
        <v>1.355421686746988E-2</v>
      </c>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row>
    <row r="49" spans="1:55" x14ac:dyDescent="0.25">
      <c r="A49" s="32" t="s">
        <v>36</v>
      </c>
      <c r="B49" s="6">
        <f>B26</f>
        <v>3756</v>
      </c>
      <c r="C49" s="5">
        <f>B49/$B$51</f>
        <v>0.46393280632411066</v>
      </c>
      <c r="E49" s="42" t="s">
        <v>25</v>
      </c>
      <c r="F49" s="6">
        <v>32</v>
      </c>
      <c r="G49" s="5">
        <f t="shared" si="4"/>
        <v>1.2048192771084338E-2</v>
      </c>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row>
    <row r="50" spans="1:55" x14ac:dyDescent="0.25">
      <c r="A50" s="13" t="s">
        <v>37</v>
      </c>
      <c r="B50" s="14">
        <f>B27</f>
        <v>4340</v>
      </c>
      <c r="C50" s="15">
        <f>B50/$B$51</f>
        <v>0.53606719367588929</v>
      </c>
      <c r="E50" s="42" t="s">
        <v>19</v>
      </c>
      <c r="F50" s="6">
        <v>20</v>
      </c>
      <c r="G50" s="5">
        <f t="shared" si="4"/>
        <v>7.5301204819277108E-3</v>
      </c>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row>
    <row r="51" spans="1:55" ht="15.75" thickBot="1" x14ac:dyDescent="0.3">
      <c r="A51" s="33" t="s">
        <v>5</v>
      </c>
      <c r="B51" s="3">
        <f>SUM(B49:B50)</f>
        <v>8096</v>
      </c>
      <c r="C51" s="2"/>
      <c r="E51" s="13" t="s">
        <v>33</v>
      </c>
      <c r="F51" s="14">
        <v>167</v>
      </c>
      <c r="G51" s="15">
        <f t="shared" si="4"/>
        <v>6.287650602409639E-2</v>
      </c>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row>
    <row r="52" spans="1:55" s="31" customFormat="1" ht="15.75" thickBot="1" x14ac:dyDescent="0.3">
      <c r="A52" s="30"/>
      <c r="B52" s="30"/>
      <c r="C52" s="30"/>
      <c r="D52" s="30"/>
      <c r="E52" s="43" t="s">
        <v>5</v>
      </c>
      <c r="F52" s="3">
        <f>SUM(F41:F51)</f>
        <v>2656</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row>
    <row r="53" spans="1:55" ht="18" thickBot="1" x14ac:dyDescent="0.35">
      <c r="A53" s="74" t="s">
        <v>44</v>
      </c>
      <c r="B53" s="75"/>
      <c r="C53" s="76"/>
      <c r="E53" s="56" t="s">
        <v>141</v>
      </c>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row>
    <row r="54" spans="1:55" ht="15.75" thickBot="1" x14ac:dyDescent="0.3">
      <c r="A54" s="12" t="s">
        <v>45</v>
      </c>
      <c r="B54" s="4" t="s">
        <v>7</v>
      </c>
      <c r="C54" s="11" t="s">
        <v>2</v>
      </c>
      <c r="E54" s="57"/>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row>
    <row r="55" spans="1:55" ht="69.75" thickBot="1" x14ac:dyDescent="0.35">
      <c r="A55" s="42" t="s">
        <v>46</v>
      </c>
      <c r="B55" s="6">
        <v>1433</v>
      </c>
      <c r="C55" s="5">
        <f t="shared" ref="C55:C61" si="5">B55/$B$62</f>
        <v>7.8071370198855891E-2</v>
      </c>
      <c r="E55" s="71" t="s">
        <v>61</v>
      </c>
      <c r="F55" s="72"/>
      <c r="G55" s="73"/>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row>
    <row r="56" spans="1:55" ht="33" customHeight="1" x14ac:dyDescent="0.25">
      <c r="A56" s="42" t="s">
        <v>47</v>
      </c>
      <c r="B56" s="6">
        <v>1290</v>
      </c>
      <c r="C56" s="5">
        <f t="shared" si="5"/>
        <v>7.0280577499318986E-2</v>
      </c>
      <c r="E56" s="12" t="s">
        <v>12</v>
      </c>
      <c r="F56" s="4" t="s">
        <v>1</v>
      </c>
      <c r="G56" s="11" t="s">
        <v>2</v>
      </c>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row>
    <row r="57" spans="1:55" x14ac:dyDescent="0.25">
      <c r="A57" s="42" t="s">
        <v>48</v>
      </c>
      <c r="B57" s="6">
        <v>2878</v>
      </c>
      <c r="C57" s="5">
        <f t="shared" si="5"/>
        <v>0.15679651321165894</v>
      </c>
      <c r="E57" s="42" t="s">
        <v>13</v>
      </c>
      <c r="F57" s="6">
        <v>778</v>
      </c>
      <c r="G57" s="5">
        <f t="shared" ref="G57:G67" si="6">F57/$F$68</f>
        <v>0.55413105413105412</v>
      </c>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row>
    <row r="58" spans="1:55" x14ac:dyDescent="0.25">
      <c r="A58" s="42" t="s">
        <v>49</v>
      </c>
      <c r="B58" s="6">
        <v>3733</v>
      </c>
      <c r="C58" s="5">
        <f t="shared" si="5"/>
        <v>0.20337782620539363</v>
      </c>
      <c r="E58" s="42" t="s">
        <v>133</v>
      </c>
      <c r="F58" s="6">
        <v>204</v>
      </c>
      <c r="G58" s="5">
        <f t="shared" si="6"/>
        <v>0.14529914529914531</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row>
    <row r="59" spans="1:55" x14ac:dyDescent="0.25">
      <c r="A59" s="42" t="s">
        <v>50</v>
      </c>
      <c r="B59" s="6">
        <v>3270</v>
      </c>
      <c r="C59" s="5">
        <f t="shared" si="5"/>
        <v>0.17815309180059929</v>
      </c>
      <c r="E59" s="42" t="s">
        <v>14</v>
      </c>
      <c r="F59" s="6">
        <v>197</v>
      </c>
      <c r="G59" s="5">
        <f t="shared" si="6"/>
        <v>0.14031339031339032</v>
      </c>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row>
    <row r="60" spans="1:55" x14ac:dyDescent="0.25">
      <c r="A60" s="42" t="s">
        <v>51</v>
      </c>
      <c r="B60" s="6">
        <v>3017</v>
      </c>
      <c r="C60" s="5">
        <f t="shared" si="5"/>
        <v>0.16436938163988013</v>
      </c>
      <c r="E60" s="42" t="s">
        <v>17</v>
      </c>
      <c r="F60" s="6">
        <v>64</v>
      </c>
      <c r="G60" s="5">
        <f t="shared" si="6"/>
        <v>4.5584045584045586E-2</v>
      </c>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row>
    <row r="61" spans="1:55" x14ac:dyDescent="0.25">
      <c r="A61" s="13" t="s">
        <v>52</v>
      </c>
      <c r="B61" s="14">
        <v>2734</v>
      </c>
      <c r="C61" s="15">
        <f t="shared" si="5"/>
        <v>0.14895123944429312</v>
      </c>
      <c r="E61" s="42" t="s">
        <v>26</v>
      </c>
      <c r="F61" s="6">
        <v>60</v>
      </c>
      <c r="G61" s="5">
        <f t="shared" si="6"/>
        <v>4.2735042735042736E-2</v>
      </c>
      <c r="H61" s="40"/>
      <c r="I61" s="40"/>
      <c r="J61" s="40"/>
      <c r="K61" s="40"/>
      <c r="L61" s="40"/>
      <c r="M61" s="40"/>
      <c r="N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row>
    <row r="62" spans="1:55" ht="15.75" thickBot="1" x14ac:dyDescent="0.3">
      <c r="A62" s="43" t="s">
        <v>5</v>
      </c>
      <c r="B62" s="3">
        <f>SUM(B55:B61)</f>
        <v>18355</v>
      </c>
      <c r="C62" s="2"/>
      <c r="E62" s="42" t="s">
        <v>15</v>
      </c>
      <c r="F62" s="6">
        <v>17</v>
      </c>
      <c r="G62" s="5">
        <f t="shared" si="6"/>
        <v>1.2108262108262107E-2</v>
      </c>
      <c r="H62" s="40"/>
      <c r="I62" s="40"/>
      <c r="J62" s="40"/>
      <c r="K62" s="40"/>
      <c r="L62" s="40"/>
      <c r="M62" s="40"/>
      <c r="N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row>
    <row r="63" spans="1:55" ht="15.75" thickBot="1" x14ac:dyDescent="0.3">
      <c r="A63" s="40"/>
      <c r="B63" s="40"/>
      <c r="C63" s="40"/>
      <c r="E63" s="42" t="s">
        <v>20</v>
      </c>
      <c r="F63" s="6">
        <v>17</v>
      </c>
      <c r="G63" s="5">
        <f t="shared" si="6"/>
        <v>1.2108262108262107E-2</v>
      </c>
      <c r="H63" s="40"/>
      <c r="I63" s="40"/>
      <c r="J63" s="40"/>
      <c r="K63" s="40"/>
      <c r="L63" s="40"/>
      <c r="M63" s="40"/>
      <c r="N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row>
    <row r="64" spans="1:55" ht="52.5" thickBot="1" x14ac:dyDescent="0.35">
      <c r="A64" s="71" t="s">
        <v>53</v>
      </c>
      <c r="B64" s="72"/>
      <c r="C64" s="73"/>
      <c r="E64" s="42" t="s">
        <v>103</v>
      </c>
      <c r="F64" s="6">
        <v>17</v>
      </c>
      <c r="G64" s="5">
        <f t="shared" si="6"/>
        <v>1.2108262108262107E-2</v>
      </c>
      <c r="H64" s="40"/>
      <c r="I64" s="40"/>
      <c r="J64" s="40"/>
      <c r="K64" s="40"/>
      <c r="L64" s="40"/>
      <c r="M64" s="40"/>
    </row>
    <row r="65" spans="1:13" x14ac:dyDescent="0.25">
      <c r="A65" s="12" t="s">
        <v>45</v>
      </c>
      <c r="B65" s="4" t="s">
        <v>7</v>
      </c>
      <c r="C65" s="11" t="s">
        <v>2</v>
      </c>
      <c r="E65" s="42" t="s">
        <v>125</v>
      </c>
      <c r="F65" s="6">
        <v>16</v>
      </c>
      <c r="G65" s="5">
        <f t="shared" si="6"/>
        <v>1.1396011396011397E-2</v>
      </c>
      <c r="H65" s="40"/>
      <c r="I65" s="40"/>
      <c r="J65" s="40"/>
      <c r="K65" s="40"/>
      <c r="L65" s="40"/>
      <c r="M65" s="40"/>
    </row>
    <row r="66" spans="1:13" x14ac:dyDescent="0.25">
      <c r="A66" s="42" t="s">
        <v>46</v>
      </c>
      <c r="B66" s="6">
        <v>878</v>
      </c>
      <c r="C66" s="5">
        <f t="shared" ref="C66:C72" si="7">B66/$B$73</f>
        <v>0.10844861660079051</v>
      </c>
      <c r="E66" s="42" t="s">
        <v>107</v>
      </c>
      <c r="F66" s="6">
        <v>15</v>
      </c>
      <c r="G66" s="5">
        <f t="shared" si="6"/>
        <v>1.0683760683760684E-2</v>
      </c>
      <c r="J66" s="40"/>
      <c r="K66" s="40"/>
      <c r="L66" s="40"/>
      <c r="M66" s="40"/>
    </row>
    <row r="67" spans="1:13" x14ac:dyDescent="0.25">
      <c r="A67" s="42" t="s">
        <v>47</v>
      </c>
      <c r="B67" s="6">
        <v>634</v>
      </c>
      <c r="C67" s="5">
        <f t="shared" si="7"/>
        <v>7.8310276679841903E-2</v>
      </c>
      <c r="E67" s="13" t="s">
        <v>33</v>
      </c>
      <c r="F67" s="14">
        <v>19</v>
      </c>
      <c r="G67" s="15">
        <f t="shared" si="6"/>
        <v>1.3532763532763533E-2</v>
      </c>
    </row>
    <row r="68" spans="1:13" ht="15.75" thickBot="1" x14ac:dyDescent="0.3">
      <c r="A68" s="42" t="s">
        <v>48</v>
      </c>
      <c r="B68" s="6">
        <v>1353</v>
      </c>
      <c r="C68" s="5">
        <f t="shared" si="7"/>
        <v>0.1671195652173913</v>
      </c>
      <c r="E68" s="43" t="s">
        <v>5</v>
      </c>
      <c r="F68" s="3">
        <f>SUM(F57:F67)</f>
        <v>1404</v>
      </c>
      <c r="G68" s="2"/>
    </row>
    <row r="69" spans="1:13" x14ac:dyDescent="0.25">
      <c r="A69" s="42" t="s">
        <v>49</v>
      </c>
      <c r="B69" s="6">
        <v>1499</v>
      </c>
      <c r="C69" s="5">
        <f t="shared" si="7"/>
        <v>0.18515316205533597</v>
      </c>
      <c r="E69" s="40" t="s">
        <v>141</v>
      </c>
      <c r="F69" s="40"/>
      <c r="G69" s="40"/>
    </row>
    <row r="70" spans="1:13" x14ac:dyDescent="0.25">
      <c r="A70" s="42" t="s">
        <v>50</v>
      </c>
      <c r="B70" s="6">
        <v>1296</v>
      </c>
      <c r="C70" s="5">
        <f t="shared" si="7"/>
        <v>0.1600790513833992</v>
      </c>
      <c r="E70" s="40"/>
      <c r="F70" s="40"/>
      <c r="G70" s="40"/>
    </row>
    <row r="71" spans="1:13" x14ac:dyDescent="0.25">
      <c r="A71" s="42" t="s">
        <v>51</v>
      </c>
      <c r="B71" s="6">
        <v>1195</v>
      </c>
      <c r="C71" s="5">
        <f t="shared" si="7"/>
        <v>0.14760375494071146</v>
      </c>
      <c r="E71" s="40" t="s">
        <v>142</v>
      </c>
      <c r="F71" s="40"/>
      <c r="G71" s="40"/>
    </row>
    <row r="72" spans="1:13" x14ac:dyDescent="0.25">
      <c r="A72" s="13" t="s">
        <v>52</v>
      </c>
      <c r="B72" s="14">
        <v>1241</v>
      </c>
      <c r="C72" s="15">
        <f t="shared" si="7"/>
        <v>0.15328557312252963</v>
      </c>
      <c r="E72" s="40"/>
      <c r="F72" s="40"/>
      <c r="G72" s="40"/>
    </row>
    <row r="73" spans="1:13" ht="15.75" thickBot="1" x14ac:dyDescent="0.3">
      <c r="A73" s="43" t="s">
        <v>5</v>
      </c>
      <c r="B73" s="3">
        <f>SUM(B66:B72)</f>
        <v>8096</v>
      </c>
      <c r="C73" s="2"/>
    </row>
    <row r="75" spans="1:13" ht="15.75" thickBot="1" x14ac:dyDescent="0.3"/>
    <row r="76" spans="1:13" ht="18" thickBot="1" x14ac:dyDescent="0.35">
      <c r="A76" s="158" t="s">
        <v>11</v>
      </c>
      <c r="B76" s="159"/>
      <c r="C76" s="160"/>
    </row>
    <row r="77" spans="1:13" x14ac:dyDescent="0.25">
      <c r="A77" s="12" t="s">
        <v>12</v>
      </c>
      <c r="B77" s="4" t="s">
        <v>1</v>
      </c>
      <c r="C77" s="11" t="s">
        <v>2</v>
      </c>
    </row>
    <row r="78" spans="1:13" x14ac:dyDescent="0.25">
      <c r="A78" s="18" t="s">
        <v>21</v>
      </c>
      <c r="B78" s="6">
        <v>6296</v>
      </c>
      <c r="C78" s="5">
        <f t="shared" ref="C78:C88" si="8">B78/$B$89</f>
        <v>0.34301280305093979</v>
      </c>
    </row>
    <row r="79" spans="1:13" x14ac:dyDescent="0.25">
      <c r="A79" s="18" t="s">
        <v>13</v>
      </c>
      <c r="B79" s="6">
        <v>4971</v>
      </c>
      <c r="C79" s="5">
        <f t="shared" si="8"/>
        <v>0.27082538817760826</v>
      </c>
    </row>
    <row r="80" spans="1:13" x14ac:dyDescent="0.25">
      <c r="A80" s="18" t="s">
        <v>14</v>
      </c>
      <c r="B80" s="6">
        <v>2167</v>
      </c>
      <c r="C80" s="5">
        <f t="shared" si="8"/>
        <v>0.11806047398529011</v>
      </c>
    </row>
    <row r="81" spans="1:8" x14ac:dyDescent="0.25">
      <c r="A81" s="18" t="s">
        <v>17</v>
      </c>
      <c r="B81" s="6">
        <v>1109</v>
      </c>
      <c r="C81" s="5">
        <f t="shared" si="8"/>
        <v>6.0419504222282754E-2</v>
      </c>
    </row>
    <row r="82" spans="1:8" ht="33" customHeight="1" x14ac:dyDescent="0.25">
      <c r="A82" s="18" t="s">
        <v>19</v>
      </c>
      <c r="B82" s="6">
        <v>505</v>
      </c>
      <c r="C82" s="5">
        <f t="shared" si="8"/>
        <v>2.751293925360937E-2</v>
      </c>
      <c r="D82" s="40"/>
      <c r="E82" s="40"/>
      <c r="F82" s="40"/>
    </row>
    <row r="83" spans="1:8" x14ac:dyDescent="0.25">
      <c r="A83" s="18" t="s">
        <v>107</v>
      </c>
      <c r="B83" s="6">
        <v>492</v>
      </c>
      <c r="C83" s="5">
        <f t="shared" si="8"/>
        <v>2.6804685371833288E-2</v>
      </c>
      <c r="D83" s="40"/>
    </row>
    <row r="84" spans="1:8" x14ac:dyDescent="0.25">
      <c r="A84" s="18" t="s">
        <v>108</v>
      </c>
      <c r="B84" s="6">
        <v>294</v>
      </c>
      <c r="C84" s="5">
        <f t="shared" si="8"/>
        <v>1.6017433941705257E-2</v>
      </c>
      <c r="D84" s="40"/>
    </row>
    <row r="85" spans="1:8" x14ac:dyDescent="0.25">
      <c r="A85" s="18" t="s">
        <v>109</v>
      </c>
      <c r="B85" s="6">
        <v>285</v>
      </c>
      <c r="C85" s="5">
        <f t="shared" si="8"/>
        <v>1.5527104331244893E-2</v>
      </c>
      <c r="D85" s="40"/>
    </row>
    <row r="86" spans="1:8" x14ac:dyDescent="0.25">
      <c r="A86" s="18" t="s">
        <v>26</v>
      </c>
      <c r="B86" s="6">
        <v>277</v>
      </c>
      <c r="C86" s="5">
        <f t="shared" si="8"/>
        <v>1.5091255788613457E-2</v>
      </c>
      <c r="D86" s="40"/>
    </row>
    <row r="87" spans="1:8" x14ac:dyDescent="0.25">
      <c r="A87" s="18" t="s">
        <v>16</v>
      </c>
      <c r="B87" s="6">
        <v>230</v>
      </c>
      <c r="C87" s="5">
        <f t="shared" si="8"/>
        <v>1.2530645600653773E-2</v>
      </c>
      <c r="D87" s="40"/>
    </row>
    <row r="88" spans="1:8" x14ac:dyDescent="0.25">
      <c r="A88" s="19" t="s">
        <v>33</v>
      </c>
      <c r="B88" s="14">
        <v>1729</v>
      </c>
      <c r="C88" s="15">
        <f t="shared" si="8"/>
        <v>9.4197766276219008E-2</v>
      </c>
      <c r="D88" s="40"/>
    </row>
    <row r="89" spans="1:8" ht="15.75" thickBot="1" x14ac:dyDescent="0.3">
      <c r="A89" s="43" t="s">
        <v>5</v>
      </c>
      <c r="B89" s="3">
        <f>SUM(B78:B88)</f>
        <v>18355</v>
      </c>
      <c r="C89" s="2"/>
      <c r="D89" s="40"/>
    </row>
    <row r="90" spans="1:8" ht="15.75" thickBot="1" x14ac:dyDescent="0.3">
      <c r="A90" s="40"/>
      <c r="B90" s="40"/>
      <c r="C90" s="40"/>
      <c r="D90" s="40"/>
    </row>
    <row r="91" spans="1:8" ht="52.5" thickBot="1" x14ac:dyDescent="0.35">
      <c r="A91" s="71" t="s">
        <v>42</v>
      </c>
      <c r="B91" s="72"/>
      <c r="C91" s="73"/>
      <c r="D91" s="40"/>
    </row>
    <row r="92" spans="1:8" x14ac:dyDescent="0.25">
      <c r="A92" s="12" t="s">
        <v>12</v>
      </c>
      <c r="B92" s="4" t="s">
        <v>1</v>
      </c>
      <c r="C92" s="11" t="s">
        <v>2</v>
      </c>
      <c r="D92" s="40"/>
      <c r="E92" s="40"/>
      <c r="F92" s="40"/>
      <c r="G92" s="40"/>
      <c r="H92" s="40"/>
    </row>
    <row r="93" spans="1:8" x14ac:dyDescent="0.25">
      <c r="A93" s="42" t="s">
        <v>13</v>
      </c>
      <c r="B93" s="6">
        <v>3334</v>
      </c>
      <c r="C93" s="5">
        <f t="shared" ref="C93:C103" si="9">B93/$B$104</f>
        <v>0.4118083003952569</v>
      </c>
      <c r="D93" s="40"/>
      <c r="E93" s="51"/>
    </row>
    <row r="94" spans="1:8" x14ac:dyDescent="0.25">
      <c r="A94" s="42" t="s">
        <v>21</v>
      </c>
      <c r="B94" s="6">
        <v>1944</v>
      </c>
      <c r="C94" s="5">
        <f t="shared" si="9"/>
        <v>0.24011857707509882</v>
      </c>
      <c r="D94" s="40"/>
      <c r="E94" s="54"/>
    </row>
    <row r="95" spans="1:8" x14ac:dyDescent="0.25">
      <c r="A95" s="42" t="s">
        <v>14</v>
      </c>
      <c r="B95" s="6">
        <v>925</v>
      </c>
      <c r="C95" s="5">
        <f t="shared" si="9"/>
        <v>0.11425395256916997</v>
      </c>
      <c r="D95" s="40"/>
      <c r="E95" s="54"/>
    </row>
    <row r="96" spans="1:8" x14ac:dyDescent="0.25">
      <c r="A96" s="42" t="s">
        <v>17</v>
      </c>
      <c r="B96" s="6">
        <v>400</v>
      </c>
      <c r="C96" s="5">
        <f t="shared" si="9"/>
        <v>4.9407114624505928E-2</v>
      </c>
      <c r="D96" s="40"/>
    </row>
    <row r="97" spans="1:4" x14ac:dyDescent="0.25">
      <c r="A97" s="42" t="s">
        <v>108</v>
      </c>
      <c r="B97" s="6">
        <v>223</v>
      </c>
      <c r="C97" s="5">
        <f t="shared" si="9"/>
        <v>2.7544466403162056E-2</v>
      </c>
      <c r="D97" s="40"/>
    </row>
    <row r="98" spans="1:4" x14ac:dyDescent="0.25">
      <c r="A98" s="42" t="s">
        <v>19</v>
      </c>
      <c r="B98" s="6">
        <v>171</v>
      </c>
      <c r="C98" s="5">
        <f t="shared" si="9"/>
        <v>2.1121541501976284E-2</v>
      </c>
      <c r="D98" s="40"/>
    </row>
    <row r="99" spans="1:4" x14ac:dyDescent="0.25">
      <c r="A99" s="42" t="s">
        <v>15</v>
      </c>
      <c r="B99" s="6">
        <v>145</v>
      </c>
      <c r="C99" s="5">
        <f t="shared" si="9"/>
        <v>1.79100790513834E-2</v>
      </c>
      <c r="D99" s="40"/>
    </row>
    <row r="100" spans="1:4" x14ac:dyDescent="0.25">
      <c r="A100" s="42" t="s">
        <v>26</v>
      </c>
      <c r="B100" s="6">
        <v>137</v>
      </c>
      <c r="C100" s="5">
        <f t="shared" si="9"/>
        <v>1.692193675889328E-2</v>
      </c>
      <c r="D100" s="40"/>
    </row>
    <row r="101" spans="1:4" x14ac:dyDescent="0.25">
      <c r="A101" s="42" t="s">
        <v>24</v>
      </c>
      <c r="B101" s="6">
        <v>110</v>
      </c>
      <c r="C101" s="5">
        <f t="shared" si="9"/>
        <v>1.358695652173913E-2</v>
      </c>
      <c r="D101" s="40"/>
    </row>
    <row r="102" spans="1:4" x14ac:dyDescent="0.25">
      <c r="A102" s="42" t="s">
        <v>107</v>
      </c>
      <c r="B102" s="6">
        <v>101</v>
      </c>
      <c r="C102" s="5">
        <f t="shared" si="9"/>
        <v>1.2475296442687748E-2</v>
      </c>
      <c r="D102" s="40"/>
    </row>
    <row r="103" spans="1:4" x14ac:dyDescent="0.25">
      <c r="A103" s="13" t="s">
        <v>33</v>
      </c>
      <c r="B103" s="14">
        <v>606</v>
      </c>
      <c r="C103" s="15">
        <f t="shared" si="9"/>
        <v>7.485177865612648E-2</v>
      </c>
      <c r="D103" s="40"/>
    </row>
    <row r="104" spans="1:4" ht="30" customHeight="1" thickBot="1" x14ac:dyDescent="0.3">
      <c r="A104" s="43" t="s">
        <v>5</v>
      </c>
      <c r="B104" s="3">
        <f>SUM(B93:B103)</f>
        <v>8096</v>
      </c>
      <c r="C104" s="2"/>
      <c r="D104" s="40"/>
    </row>
    <row r="105" spans="1:4" x14ac:dyDescent="0.25">
      <c r="A105" s="51" t="s">
        <v>137</v>
      </c>
      <c r="B105" s="51"/>
      <c r="C105" s="51"/>
      <c r="D105" s="51"/>
    </row>
    <row r="106" spans="1:4" x14ac:dyDescent="0.25">
      <c r="A106" s="54" t="s">
        <v>138</v>
      </c>
      <c r="B106" s="54"/>
      <c r="C106" s="54"/>
      <c r="D106" s="54"/>
    </row>
    <row r="107" spans="1:4" x14ac:dyDescent="0.25">
      <c r="A107" s="54" t="s">
        <v>139</v>
      </c>
      <c r="B107" s="54"/>
      <c r="C107" s="54"/>
      <c r="D107" s="54"/>
    </row>
    <row r="108" spans="1:4" x14ac:dyDescent="0.25">
      <c r="A108" s="40"/>
      <c r="B108" s="40"/>
      <c r="C108" s="40"/>
      <c r="D108" s="40"/>
    </row>
    <row r="109" spans="1:4" x14ac:dyDescent="0.25">
      <c r="D109" s="40"/>
    </row>
    <row r="110" spans="1:4" x14ac:dyDescent="0.25">
      <c r="D110" s="40"/>
    </row>
    <row r="111" spans="1:4" x14ac:dyDescent="0.25">
      <c r="D111" s="40"/>
    </row>
    <row r="112" spans="1:4" x14ac:dyDescent="0.25">
      <c r="D112" s="40"/>
    </row>
    <row r="113" spans="4:4" x14ac:dyDescent="0.25">
      <c r="D113" s="40"/>
    </row>
    <row r="114" spans="4:4" x14ac:dyDescent="0.25">
      <c r="D114" s="40"/>
    </row>
    <row r="115" spans="4:4" ht="35.25" customHeight="1" x14ac:dyDescent="0.25">
      <c r="D115" s="40"/>
    </row>
    <row r="116" spans="4:4" x14ac:dyDescent="0.25">
      <c r="D116" s="40"/>
    </row>
    <row r="117" spans="4:4" x14ac:dyDescent="0.25">
      <c r="D117" s="40"/>
    </row>
    <row r="118" spans="4:4" x14ac:dyDescent="0.25">
      <c r="D118" s="40"/>
    </row>
    <row r="119" spans="4:4" x14ac:dyDescent="0.25">
      <c r="D119" s="40"/>
    </row>
    <row r="120" spans="4:4" x14ac:dyDescent="0.25">
      <c r="D120" s="40"/>
    </row>
    <row r="121" spans="4:4" x14ac:dyDescent="0.25">
      <c r="D121" s="40"/>
    </row>
    <row r="122" spans="4:4" x14ac:dyDescent="0.25">
      <c r="D122" s="40"/>
    </row>
    <row r="123" spans="4:4" x14ac:dyDescent="0.25">
      <c r="D123" s="40"/>
    </row>
    <row r="124" spans="4:4" x14ac:dyDescent="0.25">
      <c r="D124" s="40"/>
    </row>
    <row r="125" spans="4:4" ht="34.5" customHeight="1" x14ac:dyDescent="0.25">
      <c r="D125" s="40"/>
    </row>
    <row r="126" spans="4:4" x14ac:dyDescent="0.25">
      <c r="D126" s="40"/>
    </row>
    <row r="127" spans="4:4" x14ac:dyDescent="0.25">
      <c r="D127" s="40"/>
    </row>
    <row r="128" spans="4:4" x14ac:dyDescent="0.25">
      <c r="D128" s="40"/>
    </row>
    <row r="129" spans="4:4" x14ac:dyDescent="0.25">
      <c r="D129" s="40"/>
    </row>
    <row r="130" spans="4:4" x14ac:dyDescent="0.25">
      <c r="D130" s="40"/>
    </row>
    <row r="131" spans="4:4" ht="39" customHeight="1" x14ac:dyDescent="0.25">
      <c r="D131" s="40"/>
    </row>
    <row r="132" spans="4:4" x14ac:dyDescent="0.25">
      <c r="D132" s="40"/>
    </row>
    <row r="133" spans="4:4" x14ac:dyDescent="0.25">
      <c r="D133" s="40"/>
    </row>
    <row r="134" spans="4:4" x14ac:dyDescent="0.25">
      <c r="D134" s="40"/>
    </row>
    <row r="135" spans="4:4" x14ac:dyDescent="0.25">
      <c r="D135" s="40"/>
    </row>
    <row r="136" spans="4:4" x14ac:dyDescent="0.25">
      <c r="D136" s="40"/>
    </row>
    <row r="137" spans="4:4" x14ac:dyDescent="0.25">
      <c r="D137" s="40"/>
    </row>
    <row r="138" spans="4:4" x14ac:dyDescent="0.25">
      <c r="D138" s="40"/>
    </row>
    <row r="139" spans="4:4" x14ac:dyDescent="0.25">
      <c r="D139" s="40"/>
    </row>
    <row r="140" spans="4:4" x14ac:dyDescent="0.25">
      <c r="D140" s="40"/>
    </row>
    <row r="141" spans="4:4" x14ac:dyDescent="0.25">
      <c r="D141" s="40"/>
    </row>
    <row r="142" spans="4:4" x14ac:dyDescent="0.25">
      <c r="D142" s="40"/>
    </row>
    <row r="143" spans="4:4" x14ac:dyDescent="0.25">
      <c r="D143" s="40"/>
    </row>
    <row r="144" spans="4:4" x14ac:dyDescent="0.25">
      <c r="D144" s="40"/>
    </row>
    <row r="145" spans="4:4" x14ac:dyDescent="0.25">
      <c r="D145" s="40"/>
    </row>
    <row r="146" spans="4:4" x14ac:dyDescent="0.25">
      <c r="D146" s="40"/>
    </row>
    <row r="147" spans="4:4" ht="35.25" customHeight="1" x14ac:dyDescent="0.25">
      <c r="D147" s="40"/>
    </row>
    <row r="148" spans="4:4" x14ac:dyDescent="0.25">
      <c r="D148" s="40"/>
    </row>
    <row r="149" spans="4:4" x14ac:dyDescent="0.25">
      <c r="D149" s="40"/>
    </row>
    <row r="150" spans="4:4" x14ac:dyDescent="0.25">
      <c r="D150" s="40"/>
    </row>
    <row r="151" spans="4:4" x14ac:dyDescent="0.25">
      <c r="D151" s="40"/>
    </row>
    <row r="152" spans="4:4" x14ac:dyDescent="0.25">
      <c r="D152" s="40"/>
    </row>
    <row r="153" spans="4:4" x14ac:dyDescent="0.25">
      <c r="D153" s="40"/>
    </row>
    <row r="154" spans="4:4" x14ac:dyDescent="0.25">
      <c r="D154" s="40"/>
    </row>
    <row r="155" spans="4:4" x14ac:dyDescent="0.25">
      <c r="D155" s="40"/>
    </row>
    <row r="156" spans="4:4" x14ac:dyDescent="0.25">
      <c r="D156" s="40"/>
    </row>
    <row r="157" spans="4:4" x14ac:dyDescent="0.25">
      <c r="D157" s="40"/>
    </row>
    <row r="158" spans="4:4" x14ac:dyDescent="0.25">
      <c r="D158" s="40"/>
    </row>
    <row r="159" spans="4:4" x14ac:dyDescent="0.25">
      <c r="D159" s="40"/>
    </row>
    <row r="160" spans="4:4" x14ac:dyDescent="0.25">
      <c r="D160" s="40"/>
    </row>
    <row r="161" spans="4:4" x14ac:dyDescent="0.25">
      <c r="D161" s="40"/>
    </row>
    <row r="162" spans="4:4" x14ac:dyDescent="0.25">
      <c r="D162" s="40"/>
    </row>
    <row r="163" spans="4:4" x14ac:dyDescent="0.25">
      <c r="D163" s="40"/>
    </row>
    <row r="164" spans="4:4" x14ac:dyDescent="0.25">
      <c r="D164" s="40"/>
    </row>
    <row r="165" spans="4:4" x14ac:dyDescent="0.25">
      <c r="D165" s="40"/>
    </row>
    <row r="166" spans="4:4" x14ac:dyDescent="0.25">
      <c r="D166" s="40"/>
    </row>
    <row r="167" spans="4:4" x14ac:dyDescent="0.25">
      <c r="D167" s="40"/>
    </row>
    <row r="168" spans="4:4" x14ac:dyDescent="0.25">
      <c r="D168" s="40"/>
    </row>
    <row r="169" spans="4:4" x14ac:dyDescent="0.25">
      <c r="D169" s="40"/>
    </row>
    <row r="170" spans="4:4" x14ac:dyDescent="0.25">
      <c r="D170" s="40"/>
    </row>
    <row r="171" spans="4:4" x14ac:dyDescent="0.25">
      <c r="D171" s="40"/>
    </row>
    <row r="172" spans="4:4" x14ac:dyDescent="0.25">
      <c r="D172" s="40"/>
    </row>
    <row r="173" spans="4:4" x14ac:dyDescent="0.25">
      <c r="D173" s="40"/>
    </row>
    <row r="174" spans="4:4" x14ac:dyDescent="0.25">
      <c r="D174" s="40"/>
    </row>
    <row r="175" spans="4:4" x14ac:dyDescent="0.25">
      <c r="D175" s="40"/>
    </row>
    <row r="176" spans="4:4" x14ac:dyDescent="0.25">
      <c r="D176" s="40"/>
    </row>
    <row r="177" spans="1:4" x14ac:dyDescent="0.25">
      <c r="A177" s="40"/>
      <c r="B177" s="40"/>
      <c r="C177" s="40"/>
      <c r="D177" s="40"/>
    </row>
  </sheetData>
  <mergeCells count="8">
    <mergeCell ref="A47:C47"/>
    <mergeCell ref="A76:C76"/>
    <mergeCell ref="A1:F1"/>
    <mergeCell ref="A5:C5"/>
    <mergeCell ref="I5:J5"/>
    <mergeCell ref="A12:C12"/>
    <mergeCell ref="A24:C24"/>
    <mergeCell ref="A35:C3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73"/>
  <sheetViews>
    <sheetView topLeftCell="A89" workbookViewId="0">
      <selection activeCell="E39" sqref="E39:F66"/>
    </sheetView>
  </sheetViews>
  <sheetFormatPr defaultColWidth="8.85546875" defaultRowHeight="15" x14ac:dyDescent="0.25"/>
  <cols>
    <col min="1" max="1" width="24.28515625" style="40" customWidth="1"/>
    <col min="2" max="2" width="10.7109375" style="40" bestFit="1" customWidth="1"/>
    <col min="3" max="3" width="9.85546875" style="40" customWidth="1"/>
    <col min="4" max="4" width="8.85546875" style="40"/>
    <col min="5" max="5" width="25.42578125" style="40" customWidth="1"/>
    <col min="6" max="6" width="18.42578125" style="40" bestFit="1" customWidth="1"/>
    <col min="7" max="7" width="23.42578125" style="40" customWidth="1"/>
    <col min="8" max="8" width="8.85546875" style="40"/>
    <col min="9" max="9" width="26.42578125" style="40" bestFit="1" customWidth="1"/>
    <col min="10" max="16384" width="8.85546875" style="40"/>
  </cols>
  <sheetData>
    <row r="1" spans="1:10" ht="21" x14ac:dyDescent="0.35">
      <c r="A1" s="171" t="s">
        <v>188</v>
      </c>
      <c r="B1" s="171"/>
      <c r="C1" s="171"/>
      <c r="D1" s="171"/>
      <c r="E1" s="171"/>
      <c r="F1" s="171"/>
    </row>
    <row r="2" spans="1:10" ht="21" x14ac:dyDescent="0.35">
      <c r="A2" s="50" t="s">
        <v>135</v>
      </c>
      <c r="B2" s="50"/>
      <c r="F2" s="123"/>
    </row>
    <row r="3" spans="1:10" ht="21" x14ac:dyDescent="0.35">
      <c r="A3" s="40" t="s">
        <v>136</v>
      </c>
      <c r="F3" s="123"/>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189</v>
      </c>
      <c r="J6" s="44"/>
    </row>
    <row r="7" spans="1:10" x14ac:dyDescent="0.25">
      <c r="A7" s="42" t="s">
        <v>3</v>
      </c>
      <c r="B7" s="6">
        <v>111310</v>
      </c>
      <c r="C7" s="5">
        <f>B7/$B$9</f>
        <v>0.77028476523303691</v>
      </c>
      <c r="E7" s="42" t="s">
        <v>55</v>
      </c>
      <c r="F7" s="6">
        <v>46411</v>
      </c>
      <c r="G7" s="5">
        <f>F7/$F$9</f>
        <v>0.82146270664448295</v>
      </c>
      <c r="I7" s="42" t="s">
        <v>190</v>
      </c>
      <c r="J7" s="44"/>
    </row>
    <row r="8" spans="1:10" x14ac:dyDescent="0.25">
      <c r="A8" s="13" t="s">
        <v>4</v>
      </c>
      <c r="B8" s="14">
        <v>33195</v>
      </c>
      <c r="C8" s="15">
        <f>B8/$B$9</f>
        <v>0.22971523476696309</v>
      </c>
      <c r="E8" s="13" t="s">
        <v>58</v>
      </c>
      <c r="F8" s="14">
        <v>10087</v>
      </c>
      <c r="G8" s="15">
        <f>F8/$F$9</f>
        <v>0.17853729335551702</v>
      </c>
      <c r="I8" s="42" t="s">
        <v>191</v>
      </c>
      <c r="J8" s="44"/>
    </row>
    <row r="9" spans="1:10" ht="15.75" thickBot="1" x14ac:dyDescent="0.3">
      <c r="A9" s="43" t="s">
        <v>5</v>
      </c>
      <c r="B9" s="3">
        <f>SUM(B7:B8)</f>
        <v>144505</v>
      </c>
      <c r="C9" s="2"/>
      <c r="E9" s="43" t="s">
        <v>5</v>
      </c>
      <c r="F9" s="3">
        <f>SUM(F7:F8)</f>
        <v>56498</v>
      </c>
      <c r="G9" s="2"/>
      <c r="I9" s="42" t="s">
        <v>192</v>
      </c>
      <c r="J9" s="44"/>
    </row>
    <row r="10" spans="1:10" x14ac:dyDescent="0.25">
      <c r="A10" s="40" t="s">
        <v>193</v>
      </c>
      <c r="E10" s="40" t="s">
        <v>148</v>
      </c>
      <c r="I10" s="42" t="s">
        <v>194</v>
      </c>
      <c r="J10" s="44"/>
    </row>
    <row r="11" spans="1:10" ht="15.75" thickBot="1" x14ac:dyDescent="0.3">
      <c r="I11" s="42"/>
      <c r="J11" s="44"/>
    </row>
    <row r="12" spans="1:10" ht="52.5" thickBot="1" x14ac:dyDescent="0.35">
      <c r="A12" s="158" t="s">
        <v>35</v>
      </c>
      <c r="B12" s="159"/>
      <c r="C12" s="160"/>
      <c r="E12" s="117" t="s">
        <v>56</v>
      </c>
      <c r="F12" s="118"/>
      <c r="G12" s="119"/>
      <c r="I12" s="42"/>
      <c r="J12" s="44"/>
    </row>
    <row r="13" spans="1:10" x14ac:dyDescent="0.25">
      <c r="A13" s="12" t="s">
        <v>6</v>
      </c>
      <c r="B13" s="4" t="s">
        <v>7</v>
      </c>
      <c r="C13" s="11" t="s">
        <v>2</v>
      </c>
      <c r="E13" s="12" t="s">
        <v>6</v>
      </c>
      <c r="F13" s="4" t="s">
        <v>7</v>
      </c>
      <c r="G13" s="11" t="s">
        <v>2</v>
      </c>
      <c r="I13" s="42"/>
      <c r="J13" s="44"/>
    </row>
    <row r="14" spans="1:10" x14ac:dyDescent="0.25">
      <c r="A14" s="42" t="s">
        <v>36</v>
      </c>
      <c r="B14" s="6">
        <v>23790</v>
      </c>
      <c r="C14" s="5">
        <f>B14/$B$21</f>
        <v>0.16463098162693332</v>
      </c>
      <c r="E14" s="42" t="s">
        <v>36</v>
      </c>
      <c r="F14" s="6">
        <v>6059</v>
      </c>
      <c r="G14" s="5">
        <f t="shared" ref="G14:G19" si="0">F14/$F$20</f>
        <v>0.15240466847771406</v>
      </c>
      <c r="I14" s="42"/>
      <c r="J14" s="44"/>
    </row>
    <row r="15" spans="1:10" x14ac:dyDescent="0.25">
      <c r="A15" s="42" t="s">
        <v>37</v>
      </c>
      <c r="B15" s="6">
        <v>25656</v>
      </c>
      <c r="C15" s="5">
        <f t="shared" ref="C15:C20" si="1">B15/$B$21</f>
        <v>0.17754402961835231</v>
      </c>
      <c r="E15" s="42" t="s">
        <v>37</v>
      </c>
      <c r="F15" s="6">
        <v>6457</v>
      </c>
      <c r="G15" s="5">
        <f t="shared" si="0"/>
        <v>0.16241573598953618</v>
      </c>
      <c r="I15" s="42"/>
      <c r="J15" s="44"/>
    </row>
    <row r="16" spans="1:10" x14ac:dyDescent="0.25">
      <c r="A16" s="42" t="s">
        <v>38</v>
      </c>
      <c r="B16" s="6">
        <v>20467</v>
      </c>
      <c r="C16" s="5">
        <f t="shared" si="1"/>
        <v>0.1416352375350334</v>
      </c>
      <c r="E16" s="42" t="s">
        <v>38</v>
      </c>
      <c r="F16" s="6">
        <v>5630</v>
      </c>
      <c r="G16" s="5">
        <f t="shared" si="0"/>
        <v>0.14161384445115202</v>
      </c>
      <c r="I16" s="42"/>
      <c r="J16" s="44"/>
    </row>
    <row r="17" spans="1:10" x14ac:dyDescent="0.25">
      <c r="A17" s="42" t="s">
        <v>39</v>
      </c>
      <c r="B17" s="6">
        <v>17536</v>
      </c>
      <c r="C17" s="5">
        <f t="shared" si="1"/>
        <v>0.12135220234593959</v>
      </c>
      <c r="E17" s="42" t="s">
        <v>39</v>
      </c>
      <c r="F17" s="6">
        <v>4651</v>
      </c>
      <c r="G17" s="5">
        <f t="shared" si="0"/>
        <v>0.11698863064694637</v>
      </c>
      <c r="I17" s="42"/>
      <c r="J17" s="44"/>
    </row>
    <row r="18" spans="1:10" x14ac:dyDescent="0.25">
      <c r="A18" s="42" t="s">
        <v>40</v>
      </c>
      <c r="B18" s="6">
        <v>13412</v>
      </c>
      <c r="C18" s="5">
        <f t="shared" si="1"/>
        <v>9.2813397460295488E-2</v>
      </c>
      <c r="E18" s="42" t="s">
        <v>40</v>
      </c>
      <c r="F18" s="6">
        <v>3776</v>
      </c>
      <c r="G18" s="5">
        <f t="shared" si="0"/>
        <v>9.4979374182513329E-2</v>
      </c>
      <c r="I18" s="42"/>
      <c r="J18" s="44"/>
    </row>
    <row r="19" spans="1:10" x14ac:dyDescent="0.25">
      <c r="A19" s="42" t="s">
        <v>8</v>
      </c>
      <c r="B19" s="6">
        <v>41580</v>
      </c>
      <c r="C19" s="5">
        <f t="shared" si="1"/>
        <v>0.28774090861907892</v>
      </c>
      <c r="E19" s="13" t="s">
        <v>8</v>
      </c>
      <c r="F19" s="14">
        <v>13183</v>
      </c>
      <c r="G19" s="15">
        <f t="shared" si="0"/>
        <v>0.33159774625213806</v>
      </c>
      <c r="I19" s="42"/>
      <c r="J19" s="44"/>
    </row>
    <row r="20" spans="1:10" ht="15.75" thickBot="1" x14ac:dyDescent="0.3">
      <c r="A20" s="13" t="s">
        <v>9</v>
      </c>
      <c r="B20" s="14">
        <v>2064</v>
      </c>
      <c r="C20" s="15">
        <f t="shared" si="1"/>
        <v>1.4283242794366977E-2</v>
      </c>
      <c r="E20" s="43" t="s">
        <v>5</v>
      </c>
      <c r="F20" s="3">
        <f>SUM(F14:F19)</f>
        <v>39756</v>
      </c>
      <c r="G20" s="2"/>
      <c r="I20" s="42"/>
      <c r="J20" s="44"/>
    </row>
    <row r="21" spans="1:10" ht="15.75" thickBot="1" x14ac:dyDescent="0.3">
      <c r="A21" s="43" t="s">
        <v>5</v>
      </c>
      <c r="B21" s="3">
        <f>SUM(B14:B20)</f>
        <v>144505</v>
      </c>
      <c r="C21" s="2"/>
      <c r="E21" s="55" t="s">
        <v>140</v>
      </c>
      <c r="I21" s="42"/>
      <c r="J21" s="44"/>
    </row>
    <row r="22" spans="1:10" ht="15.75" thickBot="1" x14ac:dyDescent="0.3">
      <c r="E22" s="67"/>
      <c r="I22" s="42"/>
      <c r="J22" s="44"/>
    </row>
    <row r="23" spans="1:10" ht="69.75" thickBot="1" x14ac:dyDescent="0.35">
      <c r="E23" s="117" t="s">
        <v>57</v>
      </c>
      <c r="F23" s="118"/>
      <c r="G23" s="119"/>
      <c r="I23" s="42"/>
      <c r="J23" s="44"/>
    </row>
    <row r="24" spans="1:10" ht="18" thickBot="1" x14ac:dyDescent="0.35">
      <c r="A24" s="158" t="s">
        <v>10</v>
      </c>
      <c r="B24" s="159"/>
      <c r="C24" s="160"/>
      <c r="E24" s="12" t="s">
        <v>6</v>
      </c>
      <c r="F24" s="4" t="s">
        <v>7</v>
      </c>
      <c r="G24" s="11" t="s">
        <v>2</v>
      </c>
      <c r="I24" s="42"/>
      <c r="J24" s="44"/>
    </row>
    <row r="25" spans="1:10" x14ac:dyDescent="0.25">
      <c r="A25" s="12" t="s">
        <v>6</v>
      </c>
      <c r="B25" s="4" t="s">
        <v>7</v>
      </c>
      <c r="C25" s="11" t="s">
        <v>2</v>
      </c>
      <c r="E25" s="42" t="s">
        <v>36</v>
      </c>
      <c r="F25" s="6">
        <v>1935</v>
      </c>
      <c r="G25" s="5">
        <f t="shared" ref="G25:G30" si="2">F25/$F$31</f>
        <v>0.29718937183228383</v>
      </c>
      <c r="I25" s="42"/>
      <c r="J25" s="44"/>
    </row>
    <row r="26" spans="1:10" x14ac:dyDescent="0.25">
      <c r="A26" s="42" t="s">
        <v>36</v>
      </c>
      <c r="B26" s="6">
        <v>9077</v>
      </c>
      <c r="C26" s="5">
        <f t="shared" ref="C26:C32" si="3">B26/$B$33</f>
        <v>0.27344479590299742</v>
      </c>
      <c r="E26" s="42" t="s">
        <v>37</v>
      </c>
      <c r="F26" s="6">
        <v>1917</v>
      </c>
      <c r="G26" s="5">
        <f t="shared" si="2"/>
        <v>0.29442481953616956</v>
      </c>
      <c r="I26" s="42"/>
      <c r="J26" s="44"/>
    </row>
    <row r="27" spans="1:10" x14ac:dyDescent="0.25">
      <c r="A27" s="42" t="s">
        <v>37</v>
      </c>
      <c r="B27" s="6">
        <v>9673</v>
      </c>
      <c r="C27" s="5">
        <f t="shared" si="3"/>
        <v>0.29139930712456696</v>
      </c>
      <c r="E27" s="42" t="s">
        <v>38</v>
      </c>
      <c r="F27" s="6">
        <v>1052</v>
      </c>
      <c r="G27" s="5">
        <f t="shared" si="2"/>
        <v>0.16157272308401166</v>
      </c>
      <c r="I27" s="42"/>
      <c r="J27" s="44"/>
    </row>
    <row r="28" spans="1:10" x14ac:dyDescent="0.25">
      <c r="A28" s="42" t="s">
        <v>38</v>
      </c>
      <c r="B28" s="6">
        <v>5723</v>
      </c>
      <c r="C28" s="5">
        <f t="shared" si="3"/>
        <v>0.17240548275342671</v>
      </c>
      <c r="E28" s="42" t="s">
        <v>39</v>
      </c>
      <c r="F28" s="6">
        <v>884</v>
      </c>
      <c r="G28" s="5">
        <f t="shared" si="2"/>
        <v>0.13577023498694518</v>
      </c>
      <c r="I28" s="42"/>
      <c r="J28" s="44"/>
    </row>
    <row r="29" spans="1:10" x14ac:dyDescent="0.25">
      <c r="A29" s="42" t="s">
        <v>39</v>
      </c>
      <c r="B29" s="6">
        <v>4167</v>
      </c>
      <c r="C29" s="5">
        <f t="shared" si="3"/>
        <v>0.12553095345684592</v>
      </c>
      <c r="E29" s="42" t="s">
        <v>40</v>
      </c>
      <c r="F29" s="6">
        <v>306</v>
      </c>
      <c r="G29" s="5">
        <f t="shared" si="2"/>
        <v>4.6997389033942558E-2</v>
      </c>
      <c r="I29" s="42"/>
      <c r="J29" s="44"/>
    </row>
    <row r="30" spans="1:10" x14ac:dyDescent="0.25">
      <c r="A30" s="42" t="s">
        <v>40</v>
      </c>
      <c r="B30" s="6">
        <v>2070</v>
      </c>
      <c r="C30" s="5">
        <f t="shared" si="3"/>
        <v>6.2358788974243108E-2</v>
      </c>
      <c r="E30" s="13" t="s">
        <v>8</v>
      </c>
      <c r="F30" s="14">
        <v>417</v>
      </c>
      <c r="G30" s="15">
        <f t="shared" si="2"/>
        <v>6.404546152664721E-2</v>
      </c>
      <c r="I30" s="42"/>
      <c r="J30" s="44"/>
    </row>
    <row r="31" spans="1:10" ht="15.75" thickBot="1" x14ac:dyDescent="0.3">
      <c r="A31" s="42" t="s">
        <v>8</v>
      </c>
      <c r="B31" s="6">
        <v>2378</v>
      </c>
      <c r="C31" s="5">
        <f t="shared" si="3"/>
        <v>7.163729477330924E-2</v>
      </c>
      <c r="E31" s="43" t="s">
        <v>5</v>
      </c>
      <c r="F31" s="3">
        <f>SUM(F25:F30)</f>
        <v>6511</v>
      </c>
      <c r="G31" s="2"/>
      <c r="I31" s="43"/>
      <c r="J31" s="2"/>
    </row>
    <row r="32" spans="1:10" ht="15.75" thickBot="1" x14ac:dyDescent="0.3">
      <c r="A32" s="13" t="s">
        <v>9</v>
      </c>
      <c r="B32" s="14">
        <v>107</v>
      </c>
      <c r="C32" s="15">
        <f t="shared" si="3"/>
        <v>3.2233770146106342E-3</v>
      </c>
    </row>
    <row r="33" spans="1:7" ht="52.5" thickBot="1" x14ac:dyDescent="0.35">
      <c r="A33" s="43" t="s">
        <v>5</v>
      </c>
      <c r="B33" s="3">
        <f>SUM(B26:B32)</f>
        <v>33195</v>
      </c>
      <c r="C33" s="2"/>
      <c r="E33" s="117" t="s">
        <v>59</v>
      </c>
      <c r="F33" s="118"/>
      <c r="G33" s="119"/>
    </row>
    <row r="34" spans="1:7" ht="15.75" thickBot="1" x14ac:dyDescent="0.3">
      <c r="E34" s="12" t="s">
        <v>6</v>
      </c>
      <c r="F34" s="4" t="s">
        <v>7</v>
      </c>
      <c r="G34" s="11" t="s">
        <v>2</v>
      </c>
    </row>
    <row r="35" spans="1:7" ht="36" customHeight="1" thickBot="1" x14ac:dyDescent="0.35">
      <c r="A35" s="186" t="s">
        <v>153</v>
      </c>
      <c r="B35" s="187"/>
      <c r="C35" s="188"/>
      <c r="E35" s="42" t="s">
        <v>36</v>
      </c>
      <c r="F35" s="6">
        <f>F25</f>
        <v>1935</v>
      </c>
      <c r="G35" s="5">
        <f>F35/$F$37</f>
        <v>0.50233644859813087</v>
      </c>
    </row>
    <row r="36" spans="1:7" x14ac:dyDescent="0.25">
      <c r="A36" s="12" t="s">
        <v>0</v>
      </c>
      <c r="B36" s="4" t="s">
        <v>1</v>
      </c>
      <c r="C36" s="11" t="s">
        <v>2</v>
      </c>
      <c r="E36" s="13" t="s">
        <v>37</v>
      </c>
      <c r="F36" s="14">
        <f>F26</f>
        <v>1917</v>
      </c>
      <c r="G36" s="15">
        <f>F36/$F$37</f>
        <v>0.49766355140186919</v>
      </c>
    </row>
    <row r="37" spans="1:7" ht="15.75" thickBot="1" x14ac:dyDescent="0.3">
      <c r="A37" s="42" t="s">
        <v>3</v>
      </c>
      <c r="B37" s="6">
        <v>14713</v>
      </c>
      <c r="C37" s="5">
        <v>0.61799999999999999</v>
      </c>
      <c r="E37" s="43" t="s">
        <v>5</v>
      </c>
      <c r="F37" s="3">
        <f>SUM(F35:F36)</f>
        <v>3852</v>
      </c>
      <c r="G37" s="2"/>
    </row>
    <row r="38" spans="1:7" ht="15.75" thickBot="1" x14ac:dyDescent="0.3">
      <c r="A38" s="13" t="s">
        <v>4</v>
      </c>
      <c r="B38" s="14">
        <v>9077</v>
      </c>
      <c r="C38" s="15">
        <v>0.38200000000000001</v>
      </c>
    </row>
    <row r="39" spans="1:7" ht="52.5" thickBot="1" x14ac:dyDescent="0.35">
      <c r="A39" s="43" t="s">
        <v>5</v>
      </c>
      <c r="B39" s="3">
        <v>23790</v>
      </c>
      <c r="C39" s="48"/>
      <c r="E39" s="117" t="s">
        <v>60</v>
      </c>
      <c r="F39" s="118"/>
      <c r="G39" s="119"/>
    </row>
    <row r="40" spans="1:7" ht="15.75" thickBot="1" x14ac:dyDescent="0.3">
      <c r="E40" s="12" t="s">
        <v>12</v>
      </c>
      <c r="F40" s="4" t="s">
        <v>1</v>
      </c>
      <c r="G40" s="11" t="s">
        <v>2</v>
      </c>
    </row>
    <row r="41" spans="1:7" ht="18" thickBot="1" x14ac:dyDescent="0.35">
      <c r="A41" s="186" t="s">
        <v>154</v>
      </c>
      <c r="B41" s="187"/>
      <c r="C41" s="188"/>
      <c r="E41" s="42" t="s">
        <v>13</v>
      </c>
      <c r="F41" s="6">
        <v>5618</v>
      </c>
      <c r="G41" s="5">
        <f t="shared" ref="G41:G51" si="4">F41/$F$52</f>
        <v>0.86284748886499774</v>
      </c>
    </row>
    <row r="42" spans="1:7" x14ac:dyDescent="0.25">
      <c r="A42" s="12" t="s">
        <v>0</v>
      </c>
      <c r="B42" s="4" t="s">
        <v>1</v>
      </c>
      <c r="C42" s="11" t="s">
        <v>2</v>
      </c>
      <c r="E42" s="42" t="s">
        <v>24</v>
      </c>
      <c r="F42" s="6">
        <v>137</v>
      </c>
      <c r="G42" s="5">
        <f t="shared" si="4"/>
        <v>2.1041314698203042E-2</v>
      </c>
    </row>
    <row r="43" spans="1:7" x14ac:dyDescent="0.25">
      <c r="A43" s="42" t="s">
        <v>3</v>
      </c>
      <c r="B43" s="6">
        <v>15983</v>
      </c>
      <c r="C43" s="5">
        <v>0.623</v>
      </c>
      <c r="E43" s="42" t="s">
        <v>17</v>
      </c>
      <c r="F43" s="6">
        <v>136</v>
      </c>
      <c r="G43" s="5">
        <f t="shared" si="4"/>
        <v>2.0887728459530026E-2</v>
      </c>
    </row>
    <row r="44" spans="1:7" x14ac:dyDescent="0.25">
      <c r="A44" s="13" t="s">
        <v>4</v>
      </c>
      <c r="B44" s="14">
        <v>9673</v>
      </c>
      <c r="C44" s="15">
        <v>0.377</v>
      </c>
      <c r="E44" s="42" t="s">
        <v>15</v>
      </c>
      <c r="F44" s="6">
        <v>126</v>
      </c>
      <c r="G44" s="5">
        <f t="shared" si="4"/>
        <v>1.9351866072799876E-2</v>
      </c>
    </row>
    <row r="45" spans="1:7" ht="15.75" thickBot="1" x14ac:dyDescent="0.3">
      <c r="A45" s="43" t="s">
        <v>5</v>
      </c>
      <c r="B45" s="3">
        <v>25656</v>
      </c>
      <c r="C45" s="2"/>
      <c r="E45" s="42" t="s">
        <v>23</v>
      </c>
      <c r="F45" s="6">
        <v>115</v>
      </c>
      <c r="G45" s="5">
        <f t="shared" si="4"/>
        <v>1.7662417447396713E-2</v>
      </c>
    </row>
    <row r="46" spans="1:7" ht="15.75" thickBot="1" x14ac:dyDescent="0.3">
      <c r="E46" s="42" t="s">
        <v>18</v>
      </c>
      <c r="F46" s="6">
        <v>91</v>
      </c>
      <c r="G46" s="5">
        <f t="shared" si="4"/>
        <v>1.3976347719244355E-2</v>
      </c>
    </row>
    <row r="47" spans="1:7" ht="18" thickBot="1" x14ac:dyDescent="0.35">
      <c r="A47" s="154" t="s">
        <v>41</v>
      </c>
      <c r="B47" s="155"/>
      <c r="C47" s="156"/>
      <c r="E47" s="42" t="s">
        <v>14</v>
      </c>
      <c r="F47" s="6">
        <v>82</v>
      </c>
      <c r="G47" s="5">
        <f t="shared" si="4"/>
        <v>1.2594071571187221E-2</v>
      </c>
    </row>
    <row r="48" spans="1:7" x14ac:dyDescent="0.25">
      <c r="A48" s="12" t="s">
        <v>6</v>
      </c>
      <c r="B48" s="4" t="s">
        <v>7</v>
      </c>
      <c r="C48" s="11" t="s">
        <v>2</v>
      </c>
      <c r="E48" s="42" t="s">
        <v>19</v>
      </c>
      <c r="F48" s="6">
        <v>41</v>
      </c>
      <c r="G48" s="5">
        <f t="shared" si="4"/>
        <v>6.2970357855936104E-3</v>
      </c>
    </row>
    <row r="49" spans="1:53" x14ac:dyDescent="0.25">
      <c r="A49" s="42" t="s">
        <v>36</v>
      </c>
      <c r="B49" s="6">
        <f>B26</f>
        <v>9077</v>
      </c>
      <c r="C49" s="5">
        <f>B49/$B$51</f>
        <v>0.48410666666666669</v>
      </c>
      <c r="E49" s="42" t="s">
        <v>20</v>
      </c>
      <c r="F49" s="6">
        <v>39</v>
      </c>
      <c r="G49" s="5">
        <f t="shared" si="4"/>
        <v>5.9898633082475809E-3</v>
      </c>
    </row>
    <row r="50" spans="1:53" x14ac:dyDescent="0.25">
      <c r="A50" s="13" t="s">
        <v>37</v>
      </c>
      <c r="B50" s="14">
        <f>B27</f>
        <v>9673</v>
      </c>
      <c r="C50" s="15">
        <f>B50/$B$51</f>
        <v>0.51589333333333331</v>
      </c>
      <c r="E50" s="42" t="s">
        <v>133</v>
      </c>
      <c r="F50" s="6">
        <v>38</v>
      </c>
      <c r="G50" s="5">
        <f t="shared" si="4"/>
        <v>5.8362770695745666E-3</v>
      </c>
    </row>
    <row r="51" spans="1:53" ht="15.75" thickBot="1" x14ac:dyDescent="0.3">
      <c r="A51" s="43" t="s">
        <v>5</v>
      </c>
      <c r="B51" s="3">
        <f>SUM(B49:B50)</f>
        <v>18750</v>
      </c>
      <c r="C51" s="2"/>
      <c r="E51" s="13" t="s">
        <v>33</v>
      </c>
      <c r="F51" s="14">
        <v>88</v>
      </c>
      <c r="G51" s="15">
        <f t="shared" si="4"/>
        <v>1.351558900322531E-2</v>
      </c>
    </row>
    <row r="52" spans="1:53" s="41" customFormat="1" ht="15.75" thickBot="1" x14ac:dyDescent="0.3">
      <c r="A52" s="40"/>
      <c r="B52" s="40"/>
      <c r="C52" s="40"/>
      <c r="D52" s="40"/>
      <c r="E52" s="43" t="s">
        <v>5</v>
      </c>
      <c r="F52" s="3">
        <f>SUM(F41:F51)</f>
        <v>6511</v>
      </c>
      <c r="G52" s="2"/>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ht="18" thickBot="1" x14ac:dyDescent="0.35">
      <c r="A53" s="120" t="s">
        <v>44</v>
      </c>
      <c r="B53" s="121"/>
      <c r="C53" s="122"/>
      <c r="E53" s="56" t="s">
        <v>141</v>
      </c>
    </row>
    <row r="54" spans="1:53" ht="15.75" thickBot="1" x14ac:dyDescent="0.3">
      <c r="A54" s="12" t="s">
        <v>45</v>
      </c>
      <c r="B54" s="4" t="s">
        <v>7</v>
      </c>
      <c r="C54" s="11" t="s">
        <v>2</v>
      </c>
      <c r="D54" s="41"/>
      <c r="E54" s="57"/>
    </row>
    <row r="55" spans="1:53" ht="87" thickBot="1" x14ac:dyDescent="0.35">
      <c r="A55" s="42" t="s">
        <v>46</v>
      </c>
      <c r="B55" s="6">
        <v>2798</v>
      </c>
      <c r="C55" s="5">
        <f t="shared" ref="C55:C61" si="5">B55/$B$62</f>
        <v>8.428980268112668E-2</v>
      </c>
      <c r="E55" s="117" t="s">
        <v>61</v>
      </c>
      <c r="F55" s="118"/>
      <c r="G55" s="119"/>
    </row>
    <row r="56" spans="1:53" ht="33" customHeight="1" x14ac:dyDescent="0.25">
      <c r="A56" s="42" t="s">
        <v>47</v>
      </c>
      <c r="B56" s="6">
        <v>2655</v>
      </c>
      <c r="C56" s="5">
        <f t="shared" si="5"/>
        <v>7.9981924988703115E-2</v>
      </c>
      <c r="E56" s="12" t="s">
        <v>12</v>
      </c>
      <c r="F56" s="4" t="s">
        <v>1</v>
      </c>
      <c r="G56" s="11" t="s">
        <v>2</v>
      </c>
    </row>
    <row r="57" spans="1:53" x14ac:dyDescent="0.25">
      <c r="A57" s="42" t="s">
        <v>48</v>
      </c>
      <c r="B57" s="6">
        <v>5069</v>
      </c>
      <c r="C57" s="5">
        <f t="shared" si="5"/>
        <v>0.15270372043982527</v>
      </c>
      <c r="E57" s="42" t="s">
        <v>13</v>
      </c>
      <c r="F57" s="6">
        <v>3599</v>
      </c>
      <c r="G57" s="5">
        <f t="shared" ref="G57:G65" si="6">F57/$F$66</f>
        <v>0.93431983385254413</v>
      </c>
    </row>
    <row r="58" spans="1:53" x14ac:dyDescent="0.25">
      <c r="A58" s="42" t="s">
        <v>49</v>
      </c>
      <c r="B58" s="6">
        <v>7557</v>
      </c>
      <c r="C58" s="5">
        <f t="shared" si="5"/>
        <v>0.22765476728422956</v>
      </c>
      <c r="E58" s="42" t="s">
        <v>18</v>
      </c>
      <c r="F58" s="6">
        <v>69</v>
      </c>
      <c r="G58" s="5">
        <f t="shared" si="6"/>
        <v>1.791277258566978E-2</v>
      </c>
    </row>
    <row r="59" spans="1:53" x14ac:dyDescent="0.25">
      <c r="A59" s="42" t="s">
        <v>50</v>
      </c>
      <c r="B59" s="6">
        <v>6474</v>
      </c>
      <c r="C59" s="5">
        <f t="shared" si="5"/>
        <v>0.19502937189335742</v>
      </c>
      <c r="E59" s="42" t="s">
        <v>15</v>
      </c>
      <c r="F59" s="6">
        <v>56</v>
      </c>
      <c r="G59" s="5">
        <f t="shared" si="6"/>
        <v>1.4537902388369679E-2</v>
      </c>
    </row>
    <row r="60" spans="1:53" x14ac:dyDescent="0.25">
      <c r="A60" s="42" t="s">
        <v>51</v>
      </c>
      <c r="B60" s="6">
        <v>4723</v>
      </c>
      <c r="C60" s="5">
        <f t="shared" si="5"/>
        <v>0.14228046392528995</v>
      </c>
      <c r="E60" s="42" t="s">
        <v>23</v>
      </c>
      <c r="F60" s="6">
        <v>55</v>
      </c>
      <c r="G60" s="5">
        <f t="shared" si="6"/>
        <v>1.4278296988577362E-2</v>
      </c>
    </row>
    <row r="61" spans="1:53" x14ac:dyDescent="0.25">
      <c r="A61" s="13" t="s">
        <v>52</v>
      </c>
      <c r="B61" s="14">
        <v>3919</v>
      </c>
      <c r="C61" s="15">
        <f t="shared" si="5"/>
        <v>0.11805994878746799</v>
      </c>
      <c r="E61" s="42" t="s">
        <v>17</v>
      </c>
      <c r="F61" s="6">
        <v>20</v>
      </c>
      <c r="G61" s="5">
        <f t="shared" si="6"/>
        <v>5.1921079958463139E-3</v>
      </c>
    </row>
    <row r="62" spans="1:53" ht="15.75" thickBot="1" x14ac:dyDescent="0.3">
      <c r="A62" s="43" t="s">
        <v>5</v>
      </c>
      <c r="B62" s="3">
        <f>SUM(B55:B61)</f>
        <v>33195</v>
      </c>
      <c r="C62" s="2"/>
      <c r="E62" s="42" t="s">
        <v>133</v>
      </c>
      <c r="F62" s="6">
        <v>15</v>
      </c>
      <c r="G62" s="5">
        <f t="shared" si="6"/>
        <v>3.8940809968847352E-3</v>
      </c>
    </row>
    <row r="63" spans="1:53" ht="15.75" thickBot="1" x14ac:dyDescent="0.3">
      <c r="E63" s="42" t="s">
        <v>20</v>
      </c>
      <c r="F63" s="6">
        <v>15</v>
      </c>
      <c r="G63" s="5">
        <f t="shared" si="6"/>
        <v>3.8940809968847352E-3</v>
      </c>
    </row>
    <row r="64" spans="1:53" ht="52.5" thickBot="1" x14ac:dyDescent="0.35">
      <c r="A64" s="117" t="s">
        <v>53</v>
      </c>
      <c r="B64" s="118"/>
      <c r="C64" s="119"/>
      <c r="E64" s="42" t="s">
        <v>31</v>
      </c>
      <c r="F64" s="6">
        <v>12</v>
      </c>
      <c r="G64" s="5">
        <f t="shared" si="6"/>
        <v>3.1152647975077881E-3</v>
      </c>
    </row>
    <row r="65" spans="1:7" x14ac:dyDescent="0.25">
      <c r="A65" s="12" t="s">
        <v>45</v>
      </c>
      <c r="B65" s="4" t="s">
        <v>7</v>
      </c>
      <c r="C65" s="11" t="s">
        <v>2</v>
      </c>
      <c r="E65" s="13" t="s">
        <v>14</v>
      </c>
      <c r="F65" s="14">
        <v>11</v>
      </c>
      <c r="G65" s="15">
        <f t="shared" si="6"/>
        <v>2.8556593977154725E-3</v>
      </c>
    </row>
    <row r="66" spans="1:7" ht="15.75" thickBot="1" x14ac:dyDescent="0.3">
      <c r="A66" s="42" t="s">
        <v>46</v>
      </c>
      <c r="B66" s="6">
        <v>2151</v>
      </c>
      <c r="C66" s="5">
        <f t="shared" ref="C66:C72" si="7">B66/$B$73</f>
        <v>0.11472</v>
      </c>
      <c r="E66" s="43" t="s">
        <v>5</v>
      </c>
      <c r="F66" s="3">
        <f>SUM(F57:F65)</f>
        <v>3852</v>
      </c>
      <c r="G66" s="2"/>
    </row>
    <row r="67" spans="1:7" x14ac:dyDescent="0.25">
      <c r="A67" s="42" t="s">
        <v>47</v>
      </c>
      <c r="B67" s="6">
        <v>1632</v>
      </c>
      <c r="C67" s="5">
        <f t="shared" si="7"/>
        <v>8.7040000000000006E-2</v>
      </c>
    </row>
    <row r="68" spans="1:7" x14ac:dyDescent="0.25">
      <c r="A68" s="42" t="s">
        <v>48</v>
      </c>
      <c r="B68" s="6">
        <v>2908</v>
      </c>
      <c r="C68" s="5">
        <f t="shared" si="7"/>
        <v>0.15509333333333333</v>
      </c>
    </row>
    <row r="69" spans="1:7" x14ac:dyDescent="0.25">
      <c r="A69" s="42" t="s">
        <v>49</v>
      </c>
      <c r="B69" s="6">
        <v>3578</v>
      </c>
      <c r="C69" s="5">
        <f t="shared" si="7"/>
        <v>0.19082666666666667</v>
      </c>
    </row>
    <row r="70" spans="1:7" x14ac:dyDescent="0.25">
      <c r="A70" s="42" t="s">
        <v>50</v>
      </c>
      <c r="B70" s="6">
        <v>3126</v>
      </c>
      <c r="C70" s="5">
        <f t="shared" si="7"/>
        <v>0.16672000000000001</v>
      </c>
    </row>
    <row r="71" spans="1:7" x14ac:dyDescent="0.25">
      <c r="A71" s="42" t="s">
        <v>51</v>
      </c>
      <c r="B71" s="6">
        <v>3019</v>
      </c>
      <c r="C71" s="5">
        <f t="shared" si="7"/>
        <v>0.16101333333333334</v>
      </c>
    </row>
    <row r="72" spans="1:7" x14ac:dyDescent="0.25">
      <c r="A72" s="13" t="s">
        <v>52</v>
      </c>
      <c r="B72" s="14">
        <v>2336</v>
      </c>
      <c r="C72" s="15">
        <f t="shared" si="7"/>
        <v>0.12458666666666667</v>
      </c>
    </row>
    <row r="73" spans="1:7" ht="15.75" thickBot="1" x14ac:dyDescent="0.3">
      <c r="A73" s="43" t="s">
        <v>5</v>
      </c>
      <c r="B73" s="3">
        <f>SUM(B66:B72)</f>
        <v>18750</v>
      </c>
      <c r="C73" s="2"/>
    </row>
    <row r="74" spans="1:7" ht="15.75" thickBot="1" x14ac:dyDescent="0.3"/>
    <row r="75" spans="1:7" ht="18" thickBot="1" x14ac:dyDescent="0.35">
      <c r="A75" s="158" t="s">
        <v>11</v>
      </c>
      <c r="B75" s="159"/>
      <c r="C75" s="160"/>
    </row>
    <row r="76" spans="1:7" x14ac:dyDescent="0.25">
      <c r="A76" s="12" t="s">
        <v>12</v>
      </c>
      <c r="B76" s="4" t="s">
        <v>1</v>
      </c>
      <c r="C76" s="11" t="s">
        <v>2</v>
      </c>
    </row>
    <row r="77" spans="1:7" x14ac:dyDescent="0.25">
      <c r="A77" s="18" t="s">
        <v>13</v>
      </c>
      <c r="B77" s="6">
        <v>28164</v>
      </c>
      <c r="C77" s="5">
        <f t="shared" ref="C77:C87" si="8">B77/$B$88</f>
        <v>0.84844103027564388</v>
      </c>
    </row>
    <row r="78" spans="1:7" x14ac:dyDescent="0.25">
      <c r="A78" s="18" t="s">
        <v>17</v>
      </c>
      <c r="B78" s="6">
        <v>663</v>
      </c>
      <c r="C78" s="5">
        <f t="shared" si="8"/>
        <v>1.9972887483054678E-2</v>
      </c>
    </row>
    <row r="79" spans="1:7" x14ac:dyDescent="0.25">
      <c r="A79" s="18" t="s">
        <v>15</v>
      </c>
      <c r="B79" s="6">
        <v>592</v>
      </c>
      <c r="C79" s="5">
        <f t="shared" si="8"/>
        <v>1.7834011146256965E-2</v>
      </c>
    </row>
    <row r="80" spans="1:7" x14ac:dyDescent="0.25">
      <c r="A80" s="18" t="s">
        <v>24</v>
      </c>
      <c r="B80" s="6">
        <v>474</v>
      </c>
      <c r="C80" s="5">
        <f t="shared" si="8"/>
        <v>1.4279258924536829E-2</v>
      </c>
    </row>
    <row r="81" spans="1:3" x14ac:dyDescent="0.25">
      <c r="A81" s="18" t="s">
        <v>23</v>
      </c>
      <c r="B81" s="6">
        <v>456</v>
      </c>
      <c r="C81" s="5">
        <f t="shared" si="8"/>
        <v>1.3737008585630366E-2</v>
      </c>
    </row>
    <row r="82" spans="1:3" ht="33.75" customHeight="1" x14ac:dyDescent="0.25">
      <c r="A82" s="18" t="s">
        <v>21</v>
      </c>
      <c r="B82" s="6">
        <v>449</v>
      </c>
      <c r="C82" s="5">
        <f t="shared" si="8"/>
        <v>1.3526133453833409E-2</v>
      </c>
    </row>
    <row r="83" spans="1:3" x14ac:dyDescent="0.25">
      <c r="A83" s="18" t="s">
        <v>14</v>
      </c>
      <c r="B83" s="6">
        <v>410</v>
      </c>
      <c r="C83" s="5">
        <f t="shared" si="8"/>
        <v>1.2351257719536074E-2</v>
      </c>
    </row>
    <row r="84" spans="1:3" x14ac:dyDescent="0.25">
      <c r="A84" s="18" t="s">
        <v>19</v>
      </c>
      <c r="B84" s="6">
        <v>360</v>
      </c>
      <c r="C84" s="5">
        <f t="shared" si="8"/>
        <v>1.0845006778129237E-2</v>
      </c>
    </row>
    <row r="85" spans="1:3" x14ac:dyDescent="0.25">
      <c r="A85" s="18" t="s">
        <v>20</v>
      </c>
      <c r="B85" s="6">
        <v>298</v>
      </c>
      <c r="C85" s="5">
        <f t="shared" si="8"/>
        <v>8.9772556107847561E-3</v>
      </c>
    </row>
    <row r="86" spans="1:3" x14ac:dyDescent="0.25">
      <c r="A86" s="18" t="s">
        <v>18</v>
      </c>
      <c r="B86" s="6">
        <v>219</v>
      </c>
      <c r="C86" s="5">
        <f t="shared" si="8"/>
        <v>6.5973791233619522E-3</v>
      </c>
    </row>
    <row r="87" spans="1:3" x14ac:dyDescent="0.25">
      <c r="A87" s="19" t="s">
        <v>33</v>
      </c>
      <c r="B87" s="14">
        <v>1110</v>
      </c>
      <c r="C87" s="15">
        <f t="shared" si="8"/>
        <v>3.3438770899231814E-2</v>
      </c>
    </row>
    <row r="88" spans="1:3" ht="15.75" thickBot="1" x14ac:dyDescent="0.3">
      <c r="A88" s="43" t="s">
        <v>5</v>
      </c>
      <c r="B88" s="3">
        <f>SUM(B77:B87)</f>
        <v>33195</v>
      </c>
      <c r="C88" s="2"/>
    </row>
    <row r="89" spans="1:3" ht="15.75" thickBot="1" x14ac:dyDescent="0.3"/>
    <row r="90" spans="1:3" ht="52.5" thickBot="1" x14ac:dyDescent="0.35">
      <c r="A90" s="117" t="s">
        <v>42</v>
      </c>
      <c r="B90" s="118"/>
      <c r="C90" s="119"/>
    </row>
    <row r="91" spans="1:3" x14ac:dyDescent="0.25">
      <c r="A91" s="12" t="s">
        <v>12</v>
      </c>
      <c r="B91" s="4" t="s">
        <v>1</v>
      </c>
      <c r="C91" s="11" t="s">
        <v>2</v>
      </c>
    </row>
    <row r="92" spans="1:3" x14ac:dyDescent="0.25">
      <c r="A92" s="42" t="s">
        <v>13</v>
      </c>
      <c r="B92" s="6">
        <v>17582</v>
      </c>
      <c r="C92" s="5">
        <f t="shared" ref="C92:C102" si="9">B92/$B$103</f>
        <v>0.93770666666666669</v>
      </c>
    </row>
    <row r="93" spans="1:3" x14ac:dyDescent="0.25">
      <c r="A93" s="42" t="s">
        <v>23</v>
      </c>
      <c r="B93" s="6">
        <v>235</v>
      </c>
      <c r="C93" s="5">
        <f t="shared" si="9"/>
        <v>1.2533333333333334E-2</v>
      </c>
    </row>
    <row r="94" spans="1:3" x14ac:dyDescent="0.25">
      <c r="A94" s="42" t="s">
        <v>21</v>
      </c>
      <c r="B94" s="6">
        <v>175</v>
      </c>
      <c r="C94" s="5">
        <f t="shared" si="9"/>
        <v>9.3333333333333341E-3</v>
      </c>
    </row>
    <row r="95" spans="1:3" x14ac:dyDescent="0.25">
      <c r="A95" s="42" t="s">
        <v>18</v>
      </c>
      <c r="B95" s="6">
        <v>138</v>
      </c>
      <c r="C95" s="5">
        <f t="shared" si="9"/>
        <v>7.3600000000000002E-3</v>
      </c>
    </row>
    <row r="96" spans="1:3" x14ac:dyDescent="0.25">
      <c r="A96" s="42" t="s">
        <v>15</v>
      </c>
      <c r="B96" s="6">
        <v>125</v>
      </c>
      <c r="C96" s="5">
        <f t="shared" si="9"/>
        <v>6.6666666666666671E-3</v>
      </c>
    </row>
    <row r="97" spans="1:3" x14ac:dyDescent="0.25">
      <c r="A97" s="42" t="s">
        <v>17</v>
      </c>
      <c r="B97" s="6">
        <v>89</v>
      </c>
      <c r="C97" s="5">
        <f t="shared" si="9"/>
        <v>4.7466666666666664E-3</v>
      </c>
    </row>
    <row r="98" spans="1:3" x14ac:dyDescent="0.25">
      <c r="A98" s="42" t="s">
        <v>20</v>
      </c>
      <c r="B98" s="6">
        <v>69</v>
      </c>
      <c r="C98" s="5">
        <f t="shared" si="9"/>
        <v>3.6800000000000001E-3</v>
      </c>
    </row>
    <row r="99" spans="1:3" x14ac:dyDescent="0.25">
      <c r="A99" s="42" t="s">
        <v>195</v>
      </c>
      <c r="B99" s="6">
        <v>68</v>
      </c>
      <c r="C99" s="5">
        <f t="shared" si="9"/>
        <v>3.6266666666666665E-3</v>
      </c>
    </row>
    <row r="100" spans="1:3" x14ac:dyDescent="0.25">
      <c r="A100" s="42" t="s">
        <v>24</v>
      </c>
      <c r="B100" s="6">
        <v>55</v>
      </c>
      <c r="C100" s="5">
        <f t="shared" si="9"/>
        <v>2.9333333333333334E-3</v>
      </c>
    </row>
    <row r="101" spans="1:3" x14ac:dyDescent="0.25">
      <c r="A101" s="42" t="s">
        <v>14</v>
      </c>
      <c r="B101" s="6">
        <v>54</v>
      </c>
      <c r="C101" s="5">
        <f t="shared" si="9"/>
        <v>2.8800000000000002E-3</v>
      </c>
    </row>
    <row r="102" spans="1:3" x14ac:dyDescent="0.25">
      <c r="A102" s="13" t="s">
        <v>33</v>
      </c>
      <c r="B102" s="14">
        <v>160</v>
      </c>
      <c r="C102" s="15">
        <f t="shared" si="9"/>
        <v>8.5333333333333337E-3</v>
      </c>
    </row>
    <row r="103" spans="1:3" ht="15.75" thickBot="1" x14ac:dyDescent="0.3">
      <c r="A103" s="43" t="s">
        <v>5</v>
      </c>
      <c r="B103" s="3">
        <f>SUM(B92:B102)</f>
        <v>18750</v>
      </c>
      <c r="C103" s="2"/>
    </row>
    <row r="104" spans="1:3" x14ac:dyDescent="0.25">
      <c r="A104" s="49"/>
      <c r="B104" s="6"/>
      <c r="C104" s="49"/>
    </row>
    <row r="105" spans="1:3" x14ac:dyDescent="0.25">
      <c r="A105" s="51" t="s">
        <v>137</v>
      </c>
      <c r="B105" s="52"/>
      <c r="C105" s="53"/>
    </row>
    <row r="106" spans="1:3" x14ac:dyDescent="0.25">
      <c r="A106" s="54" t="s">
        <v>138</v>
      </c>
      <c r="B106" s="52"/>
      <c r="C106" s="53"/>
    </row>
    <row r="107" spans="1:3" x14ac:dyDescent="0.25">
      <c r="A107" s="54" t="s">
        <v>139</v>
      </c>
      <c r="B107" s="52"/>
      <c r="C107" s="53"/>
    </row>
    <row r="171" spans="1:1" x14ac:dyDescent="0.25">
      <c r="A171" s="40" t="s">
        <v>141</v>
      </c>
    </row>
    <row r="173" spans="1:1" x14ac:dyDescent="0.25">
      <c r="A173" s="40" t="s">
        <v>142</v>
      </c>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2"/>
  <sheetViews>
    <sheetView topLeftCell="A90" workbookViewId="0">
      <selection activeCell="E33" sqref="E33:F57"/>
    </sheetView>
  </sheetViews>
  <sheetFormatPr defaultColWidth="8.85546875" defaultRowHeight="15" x14ac:dyDescent="0.25"/>
  <cols>
    <col min="1" max="1" width="26.7109375" style="40" customWidth="1"/>
    <col min="2" max="2" width="10.7109375" style="40" bestFit="1" customWidth="1"/>
    <col min="3" max="3" width="7.85546875" style="40" customWidth="1"/>
    <col min="4" max="4" width="8.85546875" style="40"/>
    <col min="5" max="5" width="33.85546875" style="40" bestFit="1" customWidth="1"/>
    <col min="6" max="6" width="18.42578125" style="40" bestFit="1" customWidth="1"/>
    <col min="7" max="7" width="15" style="40" customWidth="1"/>
    <col min="8" max="8" width="8.85546875" style="40"/>
    <col min="9" max="9" width="26" style="40" bestFit="1" customWidth="1"/>
    <col min="10" max="10" width="8.85546875" style="40"/>
    <col min="11" max="11" width="26" style="40" bestFit="1" customWidth="1"/>
    <col min="12" max="16384" width="8.85546875" style="40"/>
  </cols>
  <sheetData>
    <row r="1" spans="1:10" ht="21" x14ac:dyDescent="0.35">
      <c r="A1" s="171" t="s">
        <v>196</v>
      </c>
      <c r="B1" s="171"/>
      <c r="C1" s="171"/>
      <c r="D1" s="171"/>
      <c r="E1" s="171"/>
      <c r="F1" s="171"/>
    </row>
    <row r="2" spans="1:10" ht="21" x14ac:dyDescent="0.35">
      <c r="A2" s="50" t="s">
        <v>135</v>
      </c>
      <c r="B2" s="50"/>
      <c r="F2" s="123"/>
    </row>
    <row r="3" spans="1:10" ht="21" x14ac:dyDescent="0.35">
      <c r="A3" s="40" t="s">
        <v>136</v>
      </c>
      <c r="F3" s="123"/>
    </row>
    <row r="4" spans="1:10" ht="15.75" thickBot="1" x14ac:dyDescent="0.3"/>
    <row r="5" spans="1:10" ht="18" thickBot="1" x14ac:dyDescent="0.35">
      <c r="A5" s="158" t="s">
        <v>34</v>
      </c>
      <c r="B5" s="159"/>
      <c r="C5" s="160"/>
      <c r="E5" s="120" t="s">
        <v>132</v>
      </c>
      <c r="F5" s="121"/>
      <c r="G5" s="122"/>
      <c r="I5" s="158" t="s">
        <v>62</v>
      </c>
      <c r="J5" s="160"/>
    </row>
    <row r="6" spans="1:10" x14ac:dyDescent="0.25">
      <c r="A6" s="12" t="s">
        <v>0</v>
      </c>
      <c r="B6" s="4" t="s">
        <v>1</v>
      </c>
      <c r="C6" s="11" t="s">
        <v>2</v>
      </c>
      <c r="E6" s="12" t="s">
        <v>54</v>
      </c>
      <c r="F6" s="4" t="s">
        <v>1</v>
      </c>
      <c r="G6" s="11" t="s">
        <v>2</v>
      </c>
      <c r="I6" s="17" t="s">
        <v>197</v>
      </c>
      <c r="J6" s="44"/>
    </row>
    <row r="7" spans="1:10" x14ac:dyDescent="0.25">
      <c r="A7" s="42" t="s">
        <v>3</v>
      </c>
      <c r="B7" s="6">
        <v>108957</v>
      </c>
      <c r="C7" s="5">
        <f>B7/$B$9</f>
        <v>0.95854630550106013</v>
      </c>
      <c r="E7" s="42" t="s">
        <v>55</v>
      </c>
      <c r="F7" s="6">
        <v>44973</v>
      </c>
      <c r="G7" s="5">
        <f>F7/$F$9</f>
        <v>0.97066822066822067</v>
      </c>
      <c r="I7" s="42" t="s">
        <v>198</v>
      </c>
      <c r="J7" s="44"/>
    </row>
    <row r="8" spans="1:10" x14ac:dyDescent="0.25">
      <c r="A8" s="13" t="s">
        <v>4</v>
      </c>
      <c r="B8" s="14">
        <v>4712</v>
      </c>
      <c r="C8" s="15">
        <f>B8/$B$9</f>
        <v>4.1453694498939903E-2</v>
      </c>
      <c r="E8" s="13" t="s">
        <v>58</v>
      </c>
      <c r="F8" s="14">
        <v>1359</v>
      </c>
      <c r="G8" s="15">
        <f>F8/$F$9</f>
        <v>2.9331779331779332E-2</v>
      </c>
      <c r="I8" s="42" t="s">
        <v>199</v>
      </c>
      <c r="J8" s="44"/>
    </row>
    <row r="9" spans="1:10" ht="15.75" thickBot="1" x14ac:dyDescent="0.3">
      <c r="A9" s="43" t="s">
        <v>5</v>
      </c>
      <c r="B9" s="3">
        <f>SUM(B7:B8)</f>
        <v>113669</v>
      </c>
      <c r="C9" s="2"/>
      <c r="E9" s="43" t="s">
        <v>5</v>
      </c>
      <c r="F9" s="3">
        <f>SUM(F7:F8)</f>
        <v>46332</v>
      </c>
      <c r="G9" s="2"/>
      <c r="I9" s="42" t="s">
        <v>200</v>
      </c>
      <c r="J9" s="44"/>
    </row>
    <row r="10" spans="1:10" x14ac:dyDescent="0.25">
      <c r="A10" s="40" t="s">
        <v>201</v>
      </c>
      <c r="E10" s="40" t="s">
        <v>148</v>
      </c>
      <c r="I10" s="42" t="s">
        <v>202</v>
      </c>
      <c r="J10" s="44"/>
    </row>
    <row r="11" spans="1:10" ht="15.75" thickBot="1" x14ac:dyDescent="0.3">
      <c r="I11" s="42" t="s">
        <v>203</v>
      </c>
      <c r="J11" s="44"/>
    </row>
    <row r="12" spans="1:10" ht="35.25" thickBot="1" x14ac:dyDescent="0.35">
      <c r="A12" s="158" t="s">
        <v>35</v>
      </c>
      <c r="B12" s="159"/>
      <c r="C12" s="160"/>
      <c r="E12" s="117" t="s">
        <v>56</v>
      </c>
      <c r="F12" s="118"/>
      <c r="G12" s="119"/>
      <c r="I12" s="42" t="s">
        <v>204</v>
      </c>
      <c r="J12" s="44"/>
    </row>
    <row r="13" spans="1:10" x14ac:dyDescent="0.25">
      <c r="A13" s="12" t="s">
        <v>6</v>
      </c>
      <c r="B13" s="4" t="s">
        <v>7</v>
      </c>
      <c r="C13" s="11" t="s">
        <v>2</v>
      </c>
      <c r="E13" s="12" t="s">
        <v>6</v>
      </c>
      <c r="F13" s="4" t="s">
        <v>7</v>
      </c>
      <c r="G13" s="11" t="s">
        <v>2</v>
      </c>
      <c r="I13" s="42" t="s">
        <v>205</v>
      </c>
      <c r="J13" s="44"/>
    </row>
    <row r="14" spans="1:10" x14ac:dyDescent="0.25">
      <c r="A14" s="42" t="s">
        <v>36</v>
      </c>
      <c r="B14" s="6">
        <v>8729</v>
      </c>
      <c r="C14" s="5">
        <f>B14/$B$21</f>
        <v>7.6793145008753491E-2</v>
      </c>
      <c r="E14" s="42" t="s">
        <v>36</v>
      </c>
      <c r="F14" s="6">
        <v>1826</v>
      </c>
      <c r="G14" s="5">
        <f t="shared" ref="G14:G19" si="0">F14/$F$20</f>
        <v>5.8889928080755959E-2</v>
      </c>
      <c r="I14" s="42" t="s">
        <v>206</v>
      </c>
      <c r="J14" s="44"/>
    </row>
    <row r="15" spans="1:10" x14ac:dyDescent="0.25">
      <c r="A15" s="42" t="s">
        <v>37</v>
      </c>
      <c r="B15" s="6">
        <v>10393</v>
      </c>
      <c r="C15" s="5">
        <f t="shared" ref="C15:C20" si="1">B15/$B$21</f>
        <v>9.1432140689194058E-2</v>
      </c>
      <c r="E15" s="42" t="s">
        <v>37</v>
      </c>
      <c r="F15" s="6">
        <v>2437</v>
      </c>
      <c r="G15" s="5">
        <f t="shared" si="0"/>
        <v>7.8595155932531358E-2</v>
      </c>
      <c r="I15" s="42"/>
      <c r="J15" s="44"/>
    </row>
    <row r="16" spans="1:10" x14ac:dyDescent="0.25">
      <c r="A16" s="42" t="s">
        <v>38</v>
      </c>
      <c r="B16" s="6">
        <v>13504</v>
      </c>
      <c r="C16" s="5">
        <f t="shared" si="1"/>
        <v>0.1188010803297293</v>
      </c>
      <c r="E16" s="42" t="s">
        <v>38</v>
      </c>
      <c r="F16" s="6">
        <v>3450</v>
      </c>
      <c r="G16" s="5">
        <f t="shared" si="0"/>
        <v>0.11126519818105589</v>
      </c>
      <c r="I16" s="42"/>
      <c r="J16" s="44"/>
    </row>
    <row r="17" spans="1:10" x14ac:dyDescent="0.25">
      <c r="A17" s="42" t="s">
        <v>39</v>
      </c>
      <c r="B17" s="6">
        <v>14656</v>
      </c>
      <c r="C17" s="5">
        <f t="shared" si="1"/>
        <v>0.12893576964695738</v>
      </c>
      <c r="E17" s="42" t="s">
        <v>39</v>
      </c>
      <c r="F17" s="6">
        <v>4018</v>
      </c>
      <c r="G17" s="5">
        <f t="shared" si="0"/>
        <v>0.12958364240332829</v>
      </c>
      <c r="I17" s="42"/>
      <c r="J17" s="44"/>
    </row>
    <row r="18" spans="1:10" x14ac:dyDescent="0.25">
      <c r="A18" s="42" t="s">
        <v>40</v>
      </c>
      <c r="B18" s="6">
        <v>13614</v>
      </c>
      <c r="C18" s="5">
        <f t="shared" si="1"/>
        <v>0.11976880239995073</v>
      </c>
      <c r="E18" s="42" t="s">
        <v>40</v>
      </c>
      <c r="F18" s="6">
        <v>3655</v>
      </c>
      <c r="G18" s="5">
        <f t="shared" si="0"/>
        <v>0.11787660850775632</v>
      </c>
      <c r="I18" s="42"/>
      <c r="J18" s="44"/>
    </row>
    <row r="19" spans="1:10" x14ac:dyDescent="0.25">
      <c r="A19" s="42" t="s">
        <v>8</v>
      </c>
      <c r="B19" s="6">
        <v>50695</v>
      </c>
      <c r="C19" s="5">
        <f t="shared" si="1"/>
        <v>0.44598791227159562</v>
      </c>
      <c r="E19" s="13" t="s">
        <v>8</v>
      </c>
      <c r="F19" s="14">
        <v>15621</v>
      </c>
      <c r="G19" s="15">
        <f t="shared" si="0"/>
        <v>0.50378946689457216</v>
      </c>
      <c r="I19" s="42"/>
      <c r="J19" s="44"/>
    </row>
    <row r="20" spans="1:10" ht="15.75" thickBot="1" x14ac:dyDescent="0.3">
      <c r="A20" s="13" t="s">
        <v>9</v>
      </c>
      <c r="B20" s="14">
        <v>2078</v>
      </c>
      <c r="C20" s="15">
        <f t="shared" si="1"/>
        <v>1.8281149653819422E-2</v>
      </c>
      <c r="E20" s="43" t="s">
        <v>5</v>
      </c>
      <c r="F20" s="3">
        <f>SUM(F14:F19)</f>
        <v>31007</v>
      </c>
      <c r="G20" s="2"/>
      <c r="I20" s="42"/>
      <c r="J20" s="44"/>
    </row>
    <row r="21" spans="1:10" ht="15.75" thickBot="1" x14ac:dyDescent="0.3">
      <c r="A21" s="43" t="s">
        <v>5</v>
      </c>
      <c r="B21" s="3">
        <f>SUM(B14:B20)</f>
        <v>113669</v>
      </c>
      <c r="C21" s="2"/>
      <c r="E21" s="55" t="s">
        <v>140</v>
      </c>
      <c r="I21" s="42"/>
      <c r="J21" s="44"/>
    </row>
    <row r="22" spans="1:10" ht="15.75" thickBot="1" x14ac:dyDescent="0.3">
      <c r="A22" s="40" t="s">
        <v>201</v>
      </c>
      <c r="E22" s="67"/>
      <c r="I22" s="42"/>
      <c r="J22" s="44"/>
    </row>
    <row r="23" spans="1:10" ht="52.5" thickBot="1" x14ac:dyDescent="0.35">
      <c r="E23" s="117" t="s">
        <v>57</v>
      </c>
      <c r="F23" s="118"/>
      <c r="G23" s="119"/>
      <c r="I23" s="42"/>
      <c r="J23" s="44"/>
    </row>
    <row r="24" spans="1:10" ht="18" thickBot="1" x14ac:dyDescent="0.35">
      <c r="A24" s="158" t="s">
        <v>10</v>
      </c>
      <c r="B24" s="159"/>
      <c r="C24" s="160"/>
      <c r="E24" s="12" t="s">
        <v>6</v>
      </c>
      <c r="F24" s="4" t="s">
        <v>7</v>
      </c>
      <c r="G24" s="11" t="s">
        <v>2</v>
      </c>
      <c r="I24" s="42"/>
      <c r="J24" s="44"/>
    </row>
    <row r="25" spans="1:10" x14ac:dyDescent="0.25">
      <c r="A25" s="12" t="s">
        <v>6</v>
      </c>
      <c r="B25" s="4" t="s">
        <v>7</v>
      </c>
      <c r="C25" s="11" t="s">
        <v>2</v>
      </c>
      <c r="E25" s="42" t="s">
        <v>36</v>
      </c>
      <c r="F25" s="6">
        <v>215</v>
      </c>
      <c r="G25" s="5">
        <f t="shared" ref="G25:G30" si="2">F25/$F$31</f>
        <v>0.30890804597701149</v>
      </c>
      <c r="I25" s="42"/>
      <c r="J25" s="44"/>
    </row>
    <row r="26" spans="1:10" x14ac:dyDescent="0.25">
      <c r="A26" s="42" t="s">
        <v>36</v>
      </c>
      <c r="B26" s="6">
        <v>1320</v>
      </c>
      <c r="C26" s="5">
        <f>B26/$B$33</f>
        <v>0.28013582342954158</v>
      </c>
      <c r="E26" s="42" t="s">
        <v>37</v>
      </c>
      <c r="F26" s="6">
        <v>57</v>
      </c>
      <c r="G26" s="5">
        <f t="shared" si="2"/>
        <v>8.1896551724137928E-2</v>
      </c>
      <c r="I26" s="42"/>
      <c r="J26" s="44"/>
    </row>
    <row r="27" spans="1:10" x14ac:dyDescent="0.25">
      <c r="A27" s="42" t="s">
        <v>37</v>
      </c>
      <c r="B27" s="6">
        <v>750</v>
      </c>
      <c r="C27" s="5">
        <f t="shared" ref="C27:C32" si="3">B27/$B$33</f>
        <v>0.15916808149405773</v>
      </c>
      <c r="E27" s="42" t="s">
        <v>38</v>
      </c>
      <c r="F27" s="6">
        <v>71</v>
      </c>
      <c r="G27" s="5">
        <f t="shared" si="2"/>
        <v>0.10201149425287356</v>
      </c>
      <c r="I27" s="42"/>
      <c r="J27" s="44"/>
    </row>
    <row r="28" spans="1:10" x14ac:dyDescent="0.25">
      <c r="A28" s="42" t="s">
        <v>38</v>
      </c>
      <c r="B28" s="6">
        <v>652</v>
      </c>
      <c r="C28" s="5">
        <f t="shared" si="3"/>
        <v>0.13837011884550085</v>
      </c>
      <c r="E28" s="42" t="s">
        <v>39</v>
      </c>
      <c r="F28" s="6">
        <v>195</v>
      </c>
      <c r="G28" s="5">
        <f t="shared" si="2"/>
        <v>0.28017241379310343</v>
      </c>
      <c r="I28" s="42"/>
      <c r="J28" s="44"/>
    </row>
    <row r="29" spans="1:10" x14ac:dyDescent="0.25">
      <c r="A29" s="42" t="s">
        <v>39</v>
      </c>
      <c r="B29" s="6">
        <v>745</v>
      </c>
      <c r="C29" s="5">
        <f t="shared" si="3"/>
        <v>0.15810696095076401</v>
      </c>
      <c r="E29" s="42" t="s">
        <v>40</v>
      </c>
      <c r="F29" s="6">
        <v>100</v>
      </c>
      <c r="G29" s="5">
        <f t="shared" si="2"/>
        <v>0.14367816091954022</v>
      </c>
      <c r="I29" s="42"/>
      <c r="J29" s="44"/>
    </row>
    <row r="30" spans="1:10" x14ac:dyDescent="0.25">
      <c r="A30" s="42" t="s">
        <v>40</v>
      </c>
      <c r="B30" s="6">
        <v>463</v>
      </c>
      <c r="C30" s="5">
        <f t="shared" si="3"/>
        <v>9.82597623089983E-2</v>
      </c>
      <c r="E30" s="13" t="s">
        <v>8</v>
      </c>
      <c r="F30" s="14">
        <v>58</v>
      </c>
      <c r="G30" s="15">
        <f t="shared" si="2"/>
        <v>8.3333333333333329E-2</v>
      </c>
      <c r="I30" s="42"/>
      <c r="J30" s="44"/>
    </row>
    <row r="31" spans="1:10" ht="15.75" thickBot="1" x14ac:dyDescent="0.3">
      <c r="A31" s="42" t="s">
        <v>8</v>
      </c>
      <c r="B31" s="6">
        <v>724</v>
      </c>
      <c r="C31" s="5">
        <f t="shared" si="3"/>
        <v>0.1536502546689304</v>
      </c>
      <c r="E31" s="43" t="s">
        <v>5</v>
      </c>
      <c r="F31" s="3">
        <f>SUM(F25:F30)</f>
        <v>696</v>
      </c>
      <c r="G31" s="2"/>
      <c r="I31" s="43"/>
      <c r="J31" s="2"/>
    </row>
    <row r="32" spans="1:10" ht="15.75" thickBot="1" x14ac:dyDescent="0.3">
      <c r="A32" s="13" t="s">
        <v>9</v>
      </c>
      <c r="B32" s="14">
        <v>58</v>
      </c>
      <c r="C32" s="15">
        <f t="shared" si="3"/>
        <v>1.2308998302207131E-2</v>
      </c>
    </row>
    <row r="33" spans="1:7" ht="52.5" thickBot="1" x14ac:dyDescent="0.35">
      <c r="A33" s="43" t="s">
        <v>5</v>
      </c>
      <c r="B33" s="3">
        <f>SUM(B26:B32)</f>
        <v>4712</v>
      </c>
      <c r="C33" s="2"/>
      <c r="E33" s="117" t="s">
        <v>59</v>
      </c>
      <c r="F33" s="118"/>
      <c r="G33" s="119"/>
    </row>
    <row r="34" spans="1:7" ht="15.75" thickBot="1" x14ac:dyDescent="0.3">
      <c r="E34" s="12" t="s">
        <v>6</v>
      </c>
      <c r="F34" s="4" t="s">
        <v>7</v>
      </c>
      <c r="G34" s="11" t="s">
        <v>2</v>
      </c>
    </row>
    <row r="35" spans="1:7" ht="18" thickBot="1" x14ac:dyDescent="0.35">
      <c r="A35" s="186" t="s">
        <v>153</v>
      </c>
      <c r="B35" s="187"/>
      <c r="C35" s="188"/>
      <c r="E35" s="42" t="s">
        <v>36</v>
      </c>
      <c r="F35" s="6">
        <f>F25</f>
        <v>215</v>
      </c>
      <c r="G35" s="5">
        <f>F35/$F$37</f>
        <v>0.7904411764705882</v>
      </c>
    </row>
    <row r="36" spans="1:7" x14ac:dyDescent="0.25">
      <c r="A36" s="12" t="s">
        <v>0</v>
      </c>
      <c r="B36" s="4" t="s">
        <v>1</v>
      </c>
      <c r="C36" s="11" t="s">
        <v>2</v>
      </c>
      <c r="E36" s="13" t="s">
        <v>37</v>
      </c>
      <c r="F36" s="14">
        <f>F26</f>
        <v>57</v>
      </c>
      <c r="G36" s="15">
        <f>F36/$F$37</f>
        <v>0.20955882352941177</v>
      </c>
    </row>
    <row r="37" spans="1:7" ht="15.75" thickBot="1" x14ac:dyDescent="0.3">
      <c r="A37" s="42" t="s">
        <v>3</v>
      </c>
      <c r="B37" s="6">
        <v>7409</v>
      </c>
      <c r="C37" s="5">
        <v>0.84899999999999998</v>
      </c>
      <c r="E37" s="43" t="s">
        <v>5</v>
      </c>
      <c r="F37" s="3">
        <f>SUM(F35:F36)</f>
        <v>272</v>
      </c>
      <c r="G37" s="2"/>
    </row>
    <row r="38" spans="1:7" ht="15.75" thickBot="1" x14ac:dyDescent="0.3">
      <c r="A38" s="13" t="s">
        <v>4</v>
      </c>
      <c r="B38" s="14">
        <v>1320</v>
      </c>
      <c r="C38" s="15">
        <v>0.151</v>
      </c>
    </row>
    <row r="39" spans="1:7" ht="52.5" thickBot="1" x14ac:dyDescent="0.35">
      <c r="A39" s="43" t="s">
        <v>5</v>
      </c>
      <c r="B39" s="3">
        <v>8729</v>
      </c>
      <c r="C39" s="48"/>
      <c r="E39" s="117" t="s">
        <v>60</v>
      </c>
      <c r="F39" s="118"/>
      <c r="G39" s="119"/>
    </row>
    <row r="40" spans="1:7" ht="15.75" thickBot="1" x14ac:dyDescent="0.3">
      <c r="E40" s="12" t="s">
        <v>12</v>
      </c>
      <c r="F40" s="4" t="s">
        <v>1</v>
      </c>
      <c r="G40" s="11" t="s">
        <v>2</v>
      </c>
    </row>
    <row r="41" spans="1:7" ht="18" thickBot="1" x14ac:dyDescent="0.35">
      <c r="A41" s="158" t="s">
        <v>154</v>
      </c>
      <c r="B41" s="159"/>
      <c r="C41" s="160"/>
      <c r="E41" s="42" t="s">
        <v>13</v>
      </c>
      <c r="F41" s="6">
        <v>471</v>
      </c>
      <c r="G41" s="5">
        <f t="shared" ref="G41:G49" si="4">F41/$F$50</f>
        <v>0.67672413793103448</v>
      </c>
    </row>
    <row r="42" spans="1:7" x14ac:dyDescent="0.25">
      <c r="A42" s="12" t="s">
        <v>0</v>
      </c>
      <c r="B42" s="4" t="s">
        <v>1</v>
      </c>
      <c r="C42" s="11" t="s">
        <v>2</v>
      </c>
      <c r="E42" s="42" t="s">
        <v>15</v>
      </c>
      <c r="F42" s="6">
        <v>84</v>
      </c>
      <c r="G42" s="5">
        <f t="shared" si="4"/>
        <v>0.1206896551724138</v>
      </c>
    </row>
    <row r="43" spans="1:7" x14ac:dyDescent="0.25">
      <c r="A43" s="42" t="s">
        <v>3</v>
      </c>
      <c r="B43" s="6">
        <v>9643</v>
      </c>
      <c r="C43" s="5">
        <v>0.92800000000000005</v>
      </c>
      <c r="E43" s="42" t="s">
        <v>24</v>
      </c>
      <c r="F43" s="6">
        <v>39</v>
      </c>
      <c r="G43" s="5">
        <f t="shared" si="4"/>
        <v>5.6034482758620691E-2</v>
      </c>
    </row>
    <row r="44" spans="1:7" x14ac:dyDescent="0.25">
      <c r="A44" s="13" t="s">
        <v>4</v>
      </c>
      <c r="B44" s="14">
        <v>750</v>
      </c>
      <c r="C44" s="15">
        <v>7.1999999999999995E-2</v>
      </c>
      <c r="E44" s="42" t="s">
        <v>26</v>
      </c>
      <c r="F44" s="6">
        <v>39</v>
      </c>
      <c r="G44" s="5">
        <f t="shared" si="4"/>
        <v>5.6034482758620691E-2</v>
      </c>
    </row>
    <row r="45" spans="1:7" ht="15.75" thickBot="1" x14ac:dyDescent="0.3">
      <c r="A45" s="43" t="s">
        <v>5</v>
      </c>
      <c r="B45" s="3">
        <v>10393</v>
      </c>
      <c r="C45" s="2"/>
      <c r="E45" s="42" t="s">
        <v>23</v>
      </c>
      <c r="F45" s="6">
        <v>14</v>
      </c>
      <c r="G45" s="5">
        <f t="shared" si="4"/>
        <v>2.0114942528735632E-2</v>
      </c>
    </row>
    <row r="46" spans="1:7" ht="15.75" thickBot="1" x14ac:dyDescent="0.3">
      <c r="E46" s="42" t="s">
        <v>20</v>
      </c>
      <c r="F46" s="6">
        <v>14</v>
      </c>
      <c r="G46" s="5">
        <f t="shared" si="4"/>
        <v>2.0114942528735632E-2</v>
      </c>
    </row>
    <row r="47" spans="1:7" ht="18" thickBot="1" x14ac:dyDescent="0.35">
      <c r="A47" s="154" t="s">
        <v>41</v>
      </c>
      <c r="B47" s="155"/>
      <c r="C47" s="156"/>
      <c r="E47" s="42" t="s">
        <v>22</v>
      </c>
      <c r="F47" s="6">
        <v>14</v>
      </c>
      <c r="G47" s="5">
        <f t="shared" si="4"/>
        <v>2.0114942528735632E-2</v>
      </c>
    </row>
    <row r="48" spans="1:7" x14ac:dyDescent="0.25">
      <c r="A48" s="12" t="s">
        <v>6</v>
      </c>
      <c r="B48" s="4" t="s">
        <v>7</v>
      </c>
      <c r="C48" s="11" t="s">
        <v>2</v>
      </c>
      <c r="E48" s="42" t="s">
        <v>14</v>
      </c>
      <c r="F48" s="6">
        <v>11</v>
      </c>
      <c r="G48" s="5">
        <f t="shared" si="4"/>
        <v>1.5804597701149427E-2</v>
      </c>
    </row>
    <row r="49" spans="1:53" x14ac:dyDescent="0.25">
      <c r="A49" s="42" t="s">
        <v>36</v>
      </c>
      <c r="B49" s="6">
        <f>B26</f>
        <v>1320</v>
      </c>
      <c r="C49" s="5">
        <f>B49/$B$51</f>
        <v>0.6376811594202898</v>
      </c>
      <c r="E49" s="13" t="s">
        <v>19</v>
      </c>
      <c r="F49" s="14">
        <v>10</v>
      </c>
      <c r="G49" s="15">
        <f t="shared" si="4"/>
        <v>1.4367816091954023E-2</v>
      </c>
    </row>
    <row r="50" spans="1:53" ht="15.75" thickBot="1" x14ac:dyDescent="0.3">
      <c r="A50" s="13" t="s">
        <v>37</v>
      </c>
      <c r="B50" s="14">
        <f>B27</f>
        <v>750</v>
      </c>
      <c r="C50" s="15">
        <f>B50/$B$51</f>
        <v>0.36231884057971014</v>
      </c>
      <c r="E50" s="43" t="s">
        <v>5</v>
      </c>
      <c r="F50" s="3">
        <f>SUM(F41:F49)</f>
        <v>696</v>
      </c>
      <c r="G50" s="2"/>
    </row>
    <row r="51" spans="1:53" ht="15.75" thickBot="1" x14ac:dyDescent="0.3">
      <c r="A51" s="43" t="s">
        <v>5</v>
      </c>
      <c r="B51" s="3">
        <f>SUM(B49:B50)</f>
        <v>2070</v>
      </c>
      <c r="C51" s="2"/>
      <c r="E51" s="56" t="s">
        <v>141</v>
      </c>
    </row>
    <row r="52" spans="1:53" s="41" customFormat="1" ht="15.75" thickBot="1" x14ac:dyDescent="0.3">
      <c r="A52" s="40"/>
      <c r="B52" s="40"/>
      <c r="C52" s="40"/>
      <c r="D52" s="40"/>
      <c r="E52" s="57"/>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ht="69.75" thickBot="1" x14ac:dyDescent="0.35">
      <c r="A53" s="120" t="s">
        <v>44</v>
      </c>
      <c r="B53" s="121"/>
      <c r="C53" s="122"/>
      <c r="E53" s="117" t="s">
        <v>61</v>
      </c>
      <c r="F53" s="118"/>
      <c r="G53" s="119"/>
    </row>
    <row r="54" spans="1:53" x14ac:dyDescent="0.25">
      <c r="A54" s="12" t="s">
        <v>45</v>
      </c>
      <c r="B54" s="4" t="s">
        <v>7</v>
      </c>
      <c r="C54" s="11" t="s">
        <v>2</v>
      </c>
      <c r="D54" s="41"/>
      <c r="E54" s="12" t="s">
        <v>12</v>
      </c>
      <c r="F54" s="4" t="s">
        <v>1</v>
      </c>
      <c r="G54" s="11" t="s">
        <v>2</v>
      </c>
    </row>
    <row r="55" spans="1:53" x14ac:dyDescent="0.25">
      <c r="A55" s="42" t="s">
        <v>46</v>
      </c>
      <c r="B55" s="6">
        <v>437</v>
      </c>
      <c r="C55" s="5">
        <f t="shared" ref="C55:C61" si="5">B55/$B$62</f>
        <v>9.2741935483870969E-2</v>
      </c>
      <c r="E55" s="42" t="s">
        <v>13</v>
      </c>
      <c r="F55" s="6">
        <v>258</v>
      </c>
      <c r="G55" s="5">
        <f>F55/$F$57</f>
        <v>0.94852941176470584</v>
      </c>
    </row>
    <row r="56" spans="1:53" ht="33.75" customHeight="1" x14ac:dyDescent="0.25">
      <c r="A56" s="42" t="s">
        <v>47</v>
      </c>
      <c r="B56" s="6">
        <v>227</v>
      </c>
      <c r="C56" s="5">
        <f t="shared" si="5"/>
        <v>4.8174872665534801E-2</v>
      </c>
      <c r="E56" s="42" t="s">
        <v>23</v>
      </c>
      <c r="F56" s="6">
        <v>14</v>
      </c>
      <c r="G56" s="5">
        <f>F56/$F$57</f>
        <v>5.1470588235294115E-2</v>
      </c>
    </row>
    <row r="57" spans="1:53" ht="15.75" thickBot="1" x14ac:dyDescent="0.3">
      <c r="A57" s="42" t="s">
        <v>48</v>
      </c>
      <c r="B57" s="6">
        <v>816</v>
      </c>
      <c r="C57" s="5">
        <f t="shared" si="5"/>
        <v>0.1731748726655348</v>
      </c>
      <c r="E57" s="43" t="s">
        <v>5</v>
      </c>
      <c r="F57" s="3">
        <f>SUM(F55:F56)</f>
        <v>272</v>
      </c>
      <c r="G57" s="2"/>
    </row>
    <row r="58" spans="1:53" x14ac:dyDescent="0.25">
      <c r="A58" s="42" t="s">
        <v>49</v>
      </c>
      <c r="B58" s="6">
        <v>957</v>
      </c>
      <c r="C58" s="5">
        <f t="shared" si="5"/>
        <v>0.20309847198641764</v>
      </c>
    </row>
    <row r="59" spans="1:53" x14ac:dyDescent="0.25">
      <c r="A59" s="42" t="s">
        <v>50</v>
      </c>
      <c r="B59" s="6">
        <v>859</v>
      </c>
      <c r="C59" s="5">
        <f t="shared" si="5"/>
        <v>0.18230050933786079</v>
      </c>
    </row>
    <row r="60" spans="1:53" x14ac:dyDescent="0.25">
      <c r="A60" s="42" t="s">
        <v>51</v>
      </c>
      <c r="B60" s="6">
        <v>684</v>
      </c>
      <c r="C60" s="5">
        <f t="shared" si="5"/>
        <v>0.14516129032258066</v>
      </c>
    </row>
    <row r="61" spans="1:53" x14ac:dyDescent="0.25">
      <c r="A61" s="13" t="s">
        <v>52</v>
      </c>
      <c r="B61" s="14">
        <v>732</v>
      </c>
      <c r="C61" s="15">
        <f t="shared" si="5"/>
        <v>0.15534804753820033</v>
      </c>
    </row>
    <row r="62" spans="1:53" ht="15.75" thickBot="1" x14ac:dyDescent="0.3">
      <c r="A62" s="43" t="s">
        <v>5</v>
      </c>
      <c r="B62" s="3">
        <f>SUM(B55:B61)</f>
        <v>4712</v>
      </c>
      <c r="C62" s="2"/>
    </row>
    <row r="63" spans="1:53" ht="15.75" thickBot="1" x14ac:dyDescent="0.3"/>
    <row r="64" spans="1:53" ht="52.5" thickBot="1" x14ac:dyDescent="0.35">
      <c r="A64" s="117" t="s">
        <v>53</v>
      </c>
      <c r="B64" s="118"/>
      <c r="C64" s="119"/>
    </row>
    <row r="65" spans="1:3" x14ac:dyDescent="0.25">
      <c r="A65" s="12" t="s">
        <v>45</v>
      </c>
      <c r="B65" s="4" t="s">
        <v>7</v>
      </c>
      <c r="C65" s="11" t="s">
        <v>2</v>
      </c>
    </row>
    <row r="66" spans="1:3" x14ac:dyDescent="0.25">
      <c r="A66" s="42" t="s">
        <v>46</v>
      </c>
      <c r="B66" s="6">
        <v>293</v>
      </c>
      <c r="C66" s="5">
        <f t="shared" ref="C66:C72" si="6">B66/$B$73</f>
        <v>0.14154589371980678</v>
      </c>
    </row>
    <row r="67" spans="1:3" x14ac:dyDescent="0.25">
      <c r="A67" s="42" t="s">
        <v>47</v>
      </c>
      <c r="B67" s="6">
        <v>98</v>
      </c>
      <c r="C67" s="5">
        <f t="shared" si="6"/>
        <v>4.7342995169082129E-2</v>
      </c>
    </row>
    <row r="68" spans="1:3" x14ac:dyDescent="0.25">
      <c r="A68" s="42" t="s">
        <v>48</v>
      </c>
      <c r="B68" s="6">
        <v>472</v>
      </c>
      <c r="C68" s="5">
        <f t="shared" si="6"/>
        <v>0.22801932367149758</v>
      </c>
    </row>
    <row r="69" spans="1:3" x14ac:dyDescent="0.25">
      <c r="A69" s="42" t="s">
        <v>49</v>
      </c>
      <c r="B69" s="6">
        <v>418</v>
      </c>
      <c r="C69" s="5">
        <f t="shared" si="6"/>
        <v>0.20193236714975846</v>
      </c>
    </row>
    <row r="70" spans="1:3" x14ac:dyDescent="0.25">
      <c r="A70" s="42" t="s">
        <v>50</v>
      </c>
      <c r="B70" s="6">
        <v>239</v>
      </c>
      <c r="C70" s="5">
        <f t="shared" si="6"/>
        <v>0.11545893719806763</v>
      </c>
    </row>
    <row r="71" spans="1:3" x14ac:dyDescent="0.25">
      <c r="A71" s="42" t="s">
        <v>51</v>
      </c>
      <c r="B71" s="6">
        <v>299</v>
      </c>
      <c r="C71" s="5">
        <f t="shared" si="6"/>
        <v>0.14444444444444443</v>
      </c>
    </row>
    <row r="72" spans="1:3" x14ac:dyDescent="0.25">
      <c r="A72" s="13" t="s">
        <v>52</v>
      </c>
      <c r="B72" s="14">
        <v>251</v>
      </c>
      <c r="C72" s="15">
        <f t="shared" si="6"/>
        <v>0.121256038647343</v>
      </c>
    </row>
    <row r="73" spans="1:3" ht="15.75" thickBot="1" x14ac:dyDescent="0.3">
      <c r="A73" s="43" t="s">
        <v>5</v>
      </c>
      <c r="B73" s="3">
        <f>SUM(B66:B72)</f>
        <v>2070</v>
      </c>
      <c r="C73" s="2"/>
    </row>
    <row r="74" spans="1:3" ht="15.75" thickBot="1" x14ac:dyDescent="0.3"/>
    <row r="75" spans="1:3" ht="18" thickBot="1" x14ac:dyDescent="0.35">
      <c r="A75" s="158" t="s">
        <v>11</v>
      </c>
      <c r="B75" s="159"/>
      <c r="C75" s="160"/>
    </row>
    <row r="76" spans="1:3" x14ac:dyDescent="0.25">
      <c r="A76" s="12" t="s">
        <v>12</v>
      </c>
      <c r="B76" s="4" t="s">
        <v>1</v>
      </c>
      <c r="C76" s="11" t="s">
        <v>2</v>
      </c>
    </row>
    <row r="77" spans="1:3" x14ac:dyDescent="0.25">
      <c r="A77" s="18" t="s">
        <v>13</v>
      </c>
      <c r="B77" s="6">
        <v>2830</v>
      </c>
      <c r="C77" s="5">
        <f t="shared" ref="C77:C87" si="7">B77/$B$88</f>
        <v>0.60059422750424452</v>
      </c>
    </row>
    <row r="78" spans="1:3" x14ac:dyDescent="0.25">
      <c r="A78" s="18" t="s">
        <v>19</v>
      </c>
      <c r="B78" s="6">
        <v>290</v>
      </c>
      <c r="C78" s="5">
        <f t="shared" si="7"/>
        <v>6.1544991511035652E-2</v>
      </c>
    </row>
    <row r="79" spans="1:3" x14ac:dyDescent="0.25">
      <c r="A79" s="18" t="s">
        <v>26</v>
      </c>
      <c r="B79" s="6">
        <v>274</v>
      </c>
      <c r="C79" s="5">
        <f t="shared" si="7"/>
        <v>5.8149405772495756E-2</v>
      </c>
    </row>
    <row r="80" spans="1:3" x14ac:dyDescent="0.25">
      <c r="A80" s="18" t="s">
        <v>15</v>
      </c>
      <c r="B80" s="6">
        <v>241</v>
      </c>
      <c r="C80" s="5">
        <f t="shared" si="7"/>
        <v>5.1146010186757213E-2</v>
      </c>
    </row>
    <row r="81" spans="1:3" x14ac:dyDescent="0.25">
      <c r="A81" s="18" t="s">
        <v>17</v>
      </c>
      <c r="B81" s="6">
        <v>233</v>
      </c>
      <c r="C81" s="5">
        <f t="shared" si="7"/>
        <v>4.9448217317487268E-2</v>
      </c>
    </row>
    <row r="82" spans="1:3" x14ac:dyDescent="0.25">
      <c r="A82" s="18" t="s">
        <v>16</v>
      </c>
      <c r="B82" s="6">
        <v>161</v>
      </c>
      <c r="C82" s="5">
        <f t="shared" si="7"/>
        <v>3.4168081494057728E-2</v>
      </c>
    </row>
    <row r="83" spans="1:3" x14ac:dyDescent="0.25">
      <c r="A83" s="18" t="s">
        <v>24</v>
      </c>
      <c r="B83" s="6">
        <v>156</v>
      </c>
      <c r="C83" s="5">
        <f t="shared" si="7"/>
        <v>3.3106960950764007E-2</v>
      </c>
    </row>
    <row r="84" spans="1:3" x14ac:dyDescent="0.25">
      <c r="A84" s="18" t="s">
        <v>14</v>
      </c>
      <c r="B84" s="6">
        <v>100</v>
      </c>
      <c r="C84" s="5">
        <f t="shared" si="7"/>
        <v>2.1222410865874362E-2</v>
      </c>
    </row>
    <row r="85" spans="1:3" x14ac:dyDescent="0.25">
      <c r="A85" s="18" t="s">
        <v>22</v>
      </c>
      <c r="B85" s="6">
        <v>81</v>
      </c>
      <c r="C85" s="5">
        <f t="shared" si="7"/>
        <v>1.7190152801358233E-2</v>
      </c>
    </row>
    <row r="86" spans="1:3" x14ac:dyDescent="0.25">
      <c r="A86" s="18" t="s">
        <v>63</v>
      </c>
      <c r="B86" s="6">
        <v>78</v>
      </c>
      <c r="C86" s="5">
        <f t="shared" si="7"/>
        <v>1.6553480475382003E-2</v>
      </c>
    </row>
    <row r="87" spans="1:3" x14ac:dyDescent="0.25">
      <c r="A87" s="19" t="s">
        <v>33</v>
      </c>
      <c r="B87" s="14">
        <v>268</v>
      </c>
      <c r="C87" s="15">
        <f t="shared" si="7"/>
        <v>5.6876061120543296E-2</v>
      </c>
    </row>
    <row r="88" spans="1:3" ht="15.75" thickBot="1" x14ac:dyDescent="0.3">
      <c r="A88" s="43" t="s">
        <v>5</v>
      </c>
      <c r="B88" s="3">
        <f>SUM(B77:B87)</f>
        <v>4712</v>
      </c>
      <c r="C88" s="2"/>
    </row>
    <row r="89" spans="1:3" ht="15.75" thickBot="1" x14ac:dyDescent="0.3"/>
    <row r="90" spans="1:3" ht="52.5" thickBot="1" x14ac:dyDescent="0.35">
      <c r="A90" s="117" t="s">
        <v>42</v>
      </c>
      <c r="B90" s="118"/>
      <c r="C90" s="119"/>
    </row>
    <row r="91" spans="1:3" x14ac:dyDescent="0.25">
      <c r="A91" s="12" t="s">
        <v>12</v>
      </c>
      <c r="B91" s="4" t="s">
        <v>1</v>
      </c>
      <c r="C91" s="11" t="s">
        <v>2</v>
      </c>
    </row>
    <row r="92" spans="1:3" x14ac:dyDescent="0.25">
      <c r="A92" s="42" t="s">
        <v>13</v>
      </c>
      <c r="B92" s="6">
        <v>1659</v>
      </c>
      <c r="C92" s="5">
        <f t="shared" ref="C92:C100" si="8">B92/$B$101</f>
        <v>0.8014492753623188</v>
      </c>
    </row>
    <row r="93" spans="1:3" x14ac:dyDescent="0.25">
      <c r="A93" s="42" t="s">
        <v>19</v>
      </c>
      <c r="B93" s="6">
        <v>113</v>
      </c>
      <c r="C93" s="5">
        <f t="shared" si="8"/>
        <v>5.4589371980676329E-2</v>
      </c>
    </row>
    <row r="94" spans="1:3" x14ac:dyDescent="0.25">
      <c r="A94" s="42" t="s">
        <v>17</v>
      </c>
      <c r="B94" s="6">
        <v>109</v>
      </c>
      <c r="C94" s="5">
        <f t="shared" si="8"/>
        <v>5.2657004830917876E-2</v>
      </c>
    </row>
    <row r="95" spans="1:3" x14ac:dyDescent="0.25">
      <c r="A95" s="42" t="s">
        <v>26</v>
      </c>
      <c r="B95" s="6">
        <v>52</v>
      </c>
      <c r="C95" s="5">
        <f t="shared" si="8"/>
        <v>2.5120772946859903E-2</v>
      </c>
    </row>
    <row r="96" spans="1:3" x14ac:dyDescent="0.25">
      <c r="A96" s="42" t="s">
        <v>103</v>
      </c>
      <c r="B96" s="6">
        <v>41</v>
      </c>
      <c r="C96" s="5">
        <f t="shared" si="8"/>
        <v>1.9806763285024155E-2</v>
      </c>
    </row>
    <row r="97" spans="1:3" x14ac:dyDescent="0.25">
      <c r="A97" s="42" t="s">
        <v>23</v>
      </c>
      <c r="B97" s="6">
        <v>39</v>
      </c>
      <c r="C97" s="5">
        <f t="shared" si="8"/>
        <v>1.8840579710144929E-2</v>
      </c>
    </row>
    <row r="98" spans="1:3" x14ac:dyDescent="0.25">
      <c r="A98" s="42" t="s">
        <v>18</v>
      </c>
      <c r="B98" s="6">
        <v>23</v>
      </c>
      <c r="C98" s="5">
        <f t="shared" si="8"/>
        <v>1.1111111111111112E-2</v>
      </c>
    </row>
    <row r="99" spans="1:3" x14ac:dyDescent="0.25">
      <c r="A99" s="42" t="s">
        <v>14</v>
      </c>
      <c r="B99" s="6">
        <v>22</v>
      </c>
      <c r="C99" s="5">
        <f t="shared" si="8"/>
        <v>1.0628019323671498E-2</v>
      </c>
    </row>
    <row r="100" spans="1:3" x14ac:dyDescent="0.25">
      <c r="A100" s="13" t="s">
        <v>63</v>
      </c>
      <c r="B100" s="14">
        <v>12</v>
      </c>
      <c r="C100" s="15">
        <f t="shared" si="8"/>
        <v>5.7971014492753624E-3</v>
      </c>
    </row>
    <row r="101" spans="1:3" ht="15.75" thickBot="1" x14ac:dyDescent="0.3">
      <c r="A101" s="43" t="s">
        <v>5</v>
      </c>
      <c r="B101" s="3">
        <f>SUM(B92:B100)</f>
        <v>2070</v>
      </c>
      <c r="C101" s="2"/>
    </row>
    <row r="102" spans="1:3" x14ac:dyDescent="0.25">
      <c r="A102" s="49"/>
      <c r="B102" s="6"/>
      <c r="C102" s="49"/>
    </row>
    <row r="103" spans="1:3" x14ac:dyDescent="0.25">
      <c r="A103" s="51" t="s">
        <v>137</v>
      </c>
      <c r="B103" s="52"/>
      <c r="C103" s="53"/>
    </row>
    <row r="104" spans="1:3" x14ac:dyDescent="0.25">
      <c r="A104" s="54" t="s">
        <v>138</v>
      </c>
      <c r="B104" s="52"/>
      <c r="C104" s="53"/>
    </row>
    <row r="105" spans="1:3" x14ac:dyDescent="0.25">
      <c r="A105" s="54" t="s">
        <v>139</v>
      </c>
      <c r="B105" s="52"/>
      <c r="C105" s="53"/>
    </row>
    <row r="159" spans="1:1" ht="15.75" thickBot="1" x14ac:dyDescent="0.3"/>
    <row r="160" spans="1:1" x14ac:dyDescent="0.25">
      <c r="A160" s="58" t="s">
        <v>141</v>
      </c>
    </row>
    <row r="162" spans="1:1" x14ac:dyDescent="0.25">
      <c r="A162" s="40" t="s">
        <v>142</v>
      </c>
    </row>
  </sheetData>
  <mergeCells count="9">
    <mergeCell ref="A47:C47"/>
    <mergeCell ref="A75:C75"/>
    <mergeCell ref="A1:F1"/>
    <mergeCell ref="A5:C5"/>
    <mergeCell ref="I5:J5"/>
    <mergeCell ref="A12:C12"/>
    <mergeCell ref="A24:C24"/>
    <mergeCell ref="A35:C35"/>
    <mergeCell ref="A41:C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Research Notes</vt:lpstr>
      <vt:lpstr>NLS Service Area Charts</vt:lpstr>
      <vt:lpstr>NLS Service Total</vt:lpstr>
      <vt:lpstr>MA</vt:lpstr>
      <vt:lpstr>1</vt:lpstr>
      <vt:lpstr>2</vt:lpstr>
      <vt:lpstr>3</vt:lpstr>
      <vt:lpstr>4</vt:lpstr>
      <vt:lpstr>5</vt:lpstr>
      <vt:lpstr>6</vt:lpstr>
      <vt:lpstr>7</vt:lpstr>
      <vt:lpstr>8</vt:lpstr>
      <vt:lpstr>9</vt:lpstr>
      <vt:lpstr>10</vt:lpstr>
      <vt:lpstr>'NLS Service Area Charts'!Print_Area</vt:lpstr>
      <vt:lpstr>'NLS Service Total'!Print_Area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2013-12-04T16:49:03Z</cp:lastPrinted>
  <dcterms:created xsi:type="dcterms:W3CDTF">2013-07-17T13:35:31Z</dcterms:created>
  <dcterms:modified xsi:type="dcterms:W3CDTF">2013-12-04T18:13:26Z</dcterms:modified>
</cp:coreProperties>
</file>