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6" yWindow="-72" windowWidth="20808" windowHeight="8268"/>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calculation'!$B$10</definedName>
    <definedName name="client_notes">'SNAP calculation'!$B$11</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20" i="1"/>
  <c r="B15" i="3" s="1"/>
  <c r="B24" i="1"/>
  <c r="B14" i="3" s="1"/>
  <c r="B20" i="3"/>
  <c r="B29" i="3"/>
  <c r="J38" i="1"/>
  <c r="B78" i="1"/>
  <c r="B24" i="3"/>
  <c r="B9" i="4" l="1"/>
  <c r="B11" i="4" s="1"/>
  <c r="B42" i="1"/>
  <c r="B90" i="1" s="1"/>
  <c r="B3" i="4"/>
  <c r="B5" i="4" s="1"/>
  <c r="B89" i="1"/>
  <c r="B17" i="3"/>
  <c r="C17" i="3" s="1"/>
  <c r="B27" i="1"/>
  <c r="B32" i="1" s="1"/>
  <c r="B6" i="4"/>
  <c r="B7" i="4"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<sst xmlns="http://schemas.openxmlformats.org/spreadsheetml/2006/main" count="213" uniqueCount="195">
  <si>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</si>
  <si>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</si>
  <si>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</si>
  <si>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</si>
  <si>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</si>
  <si>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</si>
  <si>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</si>
  <si>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</si>
  <si>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</si>
  <si>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</si>
  <si>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</si>
  <si>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</si>
  <si>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</si>
  <si>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</si>
  <si>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</si>
  <si>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</si>
  <si>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</si>
  <si>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</si>
  <si>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</si>
  <si>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</si>
  <si>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</si>
  <si>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</si>
  <si>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</si>
  <si>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</si>
  <si>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</si>
  <si>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</si>
  <si>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</si>
  <si>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</si>
  <si>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</si>
  <si>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</si>
  <si>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</si>
  <si>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</si>
  <si>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</si>
  <si>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</si>
  <si>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</si>
  <si>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</si>
  <si>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</si>
  <si>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</si>
  <si>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</si>
  <si>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</si>
  <si>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</si>
  <si>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</si>
  <si>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</si>
  <si>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</si>
  <si>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</si>
  <si>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</si>
  <si>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</si>
  <si>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</si>
  <si>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</si>
  <si>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</si>
  <si>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</si>
  <si>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</si>
  <si>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medical expenses threshold (see §364.400(C))</t>
  </si>
  <si>
    <r>
      <t xml:space="preserve">Legally obligated </t>
    </r>
    <r>
      <rPr>
        <b/>
        <sz val="10"/>
        <rFont val="Arial"/>
        <family val="2"/>
      </rPr>
      <t>child support</t>
    </r>
    <r>
      <rPr>
        <sz val="10"/>
        <rFont val="Arial"/>
        <family val="2"/>
      </rPr>
      <t xml:space="preserve"> paid out by household</t>
    </r>
  </si>
  <si>
    <t>Allowable Homeless Deduction</t>
  </si>
  <si>
    <t>Max. Total Net Monthly Income for Household Size</t>
  </si>
  <si>
    <t>§364.550, §365.180</t>
  </si>
  <si>
    <t>§364.600</t>
  </si>
  <si>
    <t>200% of Federal poverty level</t>
  </si>
  <si>
    <t>Homeless Deduction</t>
  </si>
  <si>
    <t>Shelter Deduction</t>
  </si>
  <si>
    <t>Child Support Payment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</si>
  <si>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</si>
  <si>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</si>
  <si>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</si>
  <si>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</si>
  <si>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</si>
  <si>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</si>
  <si>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</si>
  <si>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</si>
  <si>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</si>
  <si>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</si>
  <si>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</si>
  <si>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</si>
  <si>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</si>
  <si>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</si>
  <si>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</si>
  <si>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</si>
  <si>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</si>
  <si>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</si>
  <si>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</si>
  <si>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</si>
  <si>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</si>
  <si>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</si>
  <si>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</si>
  <si>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</si>
  <si>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</si>
  <si>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</si>
  <si>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</si>
  <si>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</si>
  <si>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</si>
  <si>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</si>
  <si>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</si>
  <si>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</si>
  <si>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</si>
  <si>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</si>
  <si>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</si>
  <si>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</si>
  <si>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</si>
  <si>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</si>
  <si>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</si>
  <si>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</si>
  <si>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</si>
  <si>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</si>
  <si>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</si>
  <si>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</si>
  <si>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</si>
  <si>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</si>
  <si>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</si>
  <si>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</si>
  <si>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</si>
  <si>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</si>
  <si>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</si>
  <si>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</si>
  <si>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</si>
  <si>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</si>
  <si>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</si>
  <si>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</si>
  <si>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</si>
  <si>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</si>
  <si>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</si>
  <si>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</si>
  <si>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</si>
  <si>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</si>
  <si>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</si>
  <si>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</si>
  <si>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</si>
  <si>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</si>
  <si>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</si>
  <si>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</si>
  <si>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</si>
  <si>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</si>
  <si>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</si>
  <si>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</si>
  <si>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</si>
  <si>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</si>
  <si>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</si>
  <si>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</si>
  <si>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</si>
  <si>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</si>
  <si>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</si>
  <si>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</si>
  <si>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</si>
  <si>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</si>
  <si>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</si>
  <si>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</si>
  <si>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</si>
  <si>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</si>
  <si>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</si>
  <si>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</si>
  <si>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</si>
  <si>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</si>
  <si>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</si>
  <si>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</si>
  <si>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</si>
  <si>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</si>
  <si>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</si>
  <si>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</si>
  <si>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</si>
  <si>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</si>
  <si>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</si>
  <si>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</si>
  <si>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Are shelter expenses equal or greater than $453?</t>
  </si>
  <si>
    <t>(g) Adjusted Income (a)-(f) (net income)</t>
  </si>
  <si>
    <t>Does net income test apply?</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</si>
  <si>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</si>
  <si>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</si>
  <si>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</si>
  <si>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</si>
  <si>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</si>
  <si>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</si>
  <si>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</si>
  <si>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</si>
  <si>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costs for heating or cooling (e.g. A/C during summer), OR did they receive Fuel Assistance in the last 12 months?</t>
  </si>
  <si>
    <t>Does the household have electricity costs for non-heating purposes?</t>
  </si>
  <si>
    <t>Does the household have phone costs?</t>
  </si>
  <si>
    <t>For DTA regulations: mass.gov/lists/department-of-transitional-assistance-regulations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</si>
  <si>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</si>
  <si>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</si>
  <si>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</si>
  <si>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</si>
  <si>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</si>
  <si>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</si>
  <si>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t>SNAP CALCULATION WORKSHEET - Revised January 2022</t>
  </si>
  <si>
    <t>NOTES: This calculator is in effect as of January 12, 2022. Due to the COVID-19 pandemic, all households eligible for a SNAP benefit receive at least the maximum SNAP amount for their household size via a supplemental payment (and up to $95 above the maximum grant for households with very low income or high expenses). This calculator does not include the supplement. DTA pays out the supplement on the second business day of each month, which is often a different date than the SNAP household's regular SNAP  issuance date.See MassLegalServices.org/DTA-COVID-19 to learn more. To learn more about how SNAP benefits are calculated outside of the pandemic, see the MLRI SNAP Advocacy Guide (including how to calculate SNAP for households who are subject to a lower gross income test - namely those sanctioned due to an IPV). This calculator is intended to be a resource - note that actual figures are subject to DTA!</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</si>
  <si>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</si>
  <si>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Legally Obligated child support paid out by household per month</t>
  </si>
  <si>
    <t>Household Size</t>
  </si>
  <si>
    <t>200% federal poverty level - gross income limit for household size</t>
  </si>
  <si>
    <t>Dependent Care Costs (child or disabled adult)- multiply weekly costs x 4.333</t>
  </si>
  <si>
    <t>Cap (not applicable for households with member 60+ or disabled)</t>
  </si>
  <si>
    <t xml:space="preserve">4. FINAL RESULT (MONTHLY SNAP) - does not include COVID supplemental payments. See note above. </t>
  </si>
  <si>
    <t xml:space="preserve">NOTES: This final result field may include an error in 2 situations. 1) For households of 3 or more, there is no minimum benefit of $20. However, this calculator erroneously says $0 in the final result if the benefit amount is actually $1-19. This is incorrect. For households of 3 or more with a $0 final result, check the SNAP math! 2) For 1 or 2 person households with member 60+ or disabled and income over 200% FPL, there is no minimum benefit amount. Check the SNAP math if the final result reads $20. </t>
  </si>
  <si>
    <t>Bay State CAP Calculation Alternative*</t>
  </si>
  <si>
    <t xml:space="preserve">*note this data for Bay State CAP may not be up to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</si>
</sst>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67" sqref="B67"/>
    </sheetView>
  </sheetViews>
  <sheetFormatPr defaultColWidth="2.109375" defaultRowHeight="13.2" outlineLevelRow="1" x14ac:dyDescent="0.25"/>
  <cols>
    <col min="1" max="1" width="60.6640625" style="10" customWidth="1"/>
    <col min="2" max="2" width="18.6640625" customWidth="1"/>
    <col min="3" max="3" width="13.6640625" customWidth="1"/>
    <col min="4" max="4" width="53.33203125" customWidth="1"/>
    <col min="5" max="5" width="13.6640625" style="34" hidden="1" customWidth="1"/>
    <col min="6" max="6" width="10.88671875" style="11" customWidth="1"/>
    <col min="7" max="7" width="9.44140625" style="11" customWidth="1"/>
    <col min="8" max="8" width="9.5546875" style="11" customWidth="1"/>
    <col min="9" max="9" width="9.5546875" style="11" hidden="1" customWidth="1"/>
    <col min="10" max="10" width="9.33203125" style="145" hidden="1" customWidth="1"/>
    <col min="11" max="11" width="2.109375" style="11" hidden="1" customWidth="1"/>
    <col min="12" max="28" width="9.109375" style="11" customWidth="1"/>
    <col min="29" max="29" width="1.44140625" style="11" customWidth="1"/>
    <col min="30" max="39" width="9.109375" style="11" customWidth="1"/>
    <col min="40" max="40" width="0.6640625" style="11" customWidth="1"/>
    <col min="41" max="48" width="9.109375" style="11" customWidth="1"/>
    <col min="49" max="49" width="1.5546875" style="11" customWidth="1"/>
    <col min="50" max="59" width="9.109375" style="11" customWidth="1"/>
    <col min="60" max="60" width="2.5546875" style="11" customWidth="1"/>
    <col min="61" max="70" width="9.109375" style="11" customWidth="1"/>
    <col min="71" max="71" width="2.5546875" style="11" customWidth="1"/>
    <col min="72" max="81" width="9.109375" style="11" customWidth="1"/>
    <col min="82" max="82" width="3.44140625" style="11" customWidth="1"/>
    <col min="83" max="92" width="9.109375" style="11" customWidth="1"/>
    <col min="93" max="93" width="2" style="11" customWidth="1"/>
    <col min="94" max="103" width="9.109375" style="11" customWidth="1"/>
    <col min="104" max="104" width="1.6640625" style="11" customWidth="1"/>
    <col min="105" max="114" width="9.109375" style="11" customWidth="1"/>
    <col min="115" max="115" width="2" style="11" customWidth="1"/>
    <col min="116" max="125" width="9.109375" style="11" customWidth="1"/>
    <col min="126" max="126" width="1.44140625" style="11" customWidth="1"/>
    <col min="127" max="135" width="9.109375" style="11" customWidth="1"/>
    <col min="136" max="136" width="6.6640625" style="11" customWidth="1"/>
    <col min="137" max="146" width="9.109375" style="11" customWidth="1"/>
    <col min="147" max="147" width="3.44140625" style="11" customWidth="1"/>
    <col min="148" max="157" width="9.109375" style="11" customWidth="1"/>
    <col min="158" max="158" width="0.6640625" style="11" customWidth="1"/>
    <col min="159" max="168" width="9.109375" style="11" customWidth="1"/>
    <col min="169" max="169" width="0.5546875" style="11" customWidth="1"/>
    <col min="170" max="179" width="9.109375" style="11" customWidth="1"/>
    <col min="180" max="180" width="2" style="11" customWidth="1"/>
    <col min="181" max="190" width="9.109375" style="11" customWidth="1"/>
    <col min="191" max="191" width="1.5546875" style="11" customWidth="1"/>
    <col min="192" max="200" width="9.109375" style="11" customWidth="1"/>
    <col min="201" max="201" width="0.44140625" style="11" customWidth="1"/>
    <col min="202" max="211" width="9.109375" style="11" customWidth="1"/>
    <col min="212" max="212" width="1.33203125" style="11" customWidth="1"/>
    <col min="213" max="222" width="9.109375" style="11" customWidth="1"/>
    <col min="223" max="223" width="3.33203125" style="11" customWidth="1"/>
    <col min="224" max="229" width="9.109375" style="11" customWidth="1"/>
    <col min="230" max="230" width="1.109375" style="11" customWidth="1"/>
    <col min="231" max="236" width="9.109375" style="11" customWidth="1"/>
    <col min="237" max="237" width="2.88671875" style="11" customWidth="1"/>
    <col min="238" max="241" width="9.109375" style="11" customWidth="1"/>
    <col min="242" max="242" width="4" style="11" customWidth="1"/>
    <col min="243" max="248" width="9.109375" style="11" customWidth="1"/>
    <col min="249" max="16384" width="2.109375" style="11"/>
  </cols>
  <sheetData>
    <row r="1" spans="1:10" s="26" customFormat="1" ht="30" customHeight="1" x14ac:dyDescent="0.4">
      <c r="A1" s="238" t="s">
        <v>183</v>
      </c>
      <c r="B1" s="238"/>
      <c r="C1" s="238"/>
      <c r="D1" s="238"/>
      <c r="E1" s="107" t="s">
        <v>112</v>
      </c>
      <c r="J1" s="142"/>
    </row>
    <row r="2" spans="1:10" ht="20.399999999999999" x14ac:dyDescent="0.35">
      <c r="A2" s="235"/>
      <c r="B2" s="160"/>
      <c r="C2" s="161"/>
      <c r="D2" s="162"/>
      <c r="E2" s="32"/>
      <c r="F2" s="143"/>
      <c r="G2" s="143"/>
    </row>
    <row r="3" spans="1:10" ht="138" customHeight="1" x14ac:dyDescent="0.25">
      <c r="A3" s="239" t="s">
        <v>184</v>
      </c>
      <c r="B3" s="240"/>
      <c r="C3" s="240"/>
      <c r="D3" s="240"/>
      <c r="E3" s="33"/>
      <c r="G3" s="236"/>
    </row>
    <row r="4" spans="1:10" ht="39.75" customHeight="1" x14ac:dyDescent="0.25">
      <c r="A4" s="245" t="s">
        <v>169</v>
      </c>
      <c r="B4" s="245"/>
      <c r="C4" s="245"/>
      <c r="D4" s="245"/>
      <c r="E4" s="33"/>
    </row>
    <row r="5" spans="1:10" x14ac:dyDescent="0.25">
      <c r="A5" s="241"/>
      <c r="B5" s="241"/>
      <c r="C5" s="241"/>
      <c r="D5" s="241"/>
      <c r="E5" s="108"/>
    </row>
    <row r="6" spans="1:10" x14ac:dyDescent="0.25">
      <c r="A6" s="249" t="s">
        <v>170</v>
      </c>
      <c r="B6" s="250"/>
      <c r="C6" s="250"/>
      <c r="D6" s="250"/>
    </row>
    <row r="7" spans="1:10" s="26" customFormat="1" x14ac:dyDescent="0.25">
      <c r="A7" s="250"/>
      <c r="B7" s="250"/>
      <c r="C7" s="250"/>
      <c r="D7" s="250"/>
      <c r="E7" s="31"/>
      <c r="J7" s="142"/>
    </row>
    <row r="8" spans="1:10" x14ac:dyDescent="0.25">
      <c r="A8" s="163"/>
      <c r="B8" s="55"/>
      <c r="C8" s="55"/>
      <c r="D8" s="55"/>
      <c r="E8" s="21"/>
    </row>
    <row r="9" spans="1:10" x14ac:dyDescent="0.25">
      <c r="A9" s="164" t="s">
        <v>153</v>
      </c>
      <c r="B9" s="242"/>
      <c r="C9" s="243"/>
      <c r="D9" s="244"/>
      <c r="E9" s="21"/>
    </row>
    <row r="10" spans="1:10" x14ac:dyDescent="0.25">
      <c r="A10" s="164" t="s">
        <v>154</v>
      </c>
      <c r="B10" s="242"/>
      <c r="C10" s="243"/>
      <c r="D10" s="244"/>
      <c r="E10" s="21"/>
    </row>
    <row r="11" spans="1:10" ht="38.25" customHeight="1" x14ac:dyDescent="0.25">
      <c r="A11" s="164" t="s">
        <v>155</v>
      </c>
      <c r="B11" s="254"/>
      <c r="C11" s="255"/>
      <c r="D11" s="256"/>
      <c r="E11" s="21"/>
    </row>
    <row r="12" spans="1:10" s="144" customFormat="1" ht="16.2" thickBot="1" x14ac:dyDescent="0.35">
      <c r="A12" s="165" t="s">
        <v>106</v>
      </c>
      <c r="B12" s="166"/>
      <c r="C12" s="166"/>
      <c r="D12" s="166"/>
      <c r="E12" s="86"/>
      <c r="J12" s="151"/>
    </row>
    <row r="13" spans="1:10" x14ac:dyDescent="0.25">
      <c r="A13" s="167"/>
      <c r="B13" s="55"/>
      <c r="C13" s="55"/>
      <c r="D13" s="55"/>
      <c r="E13" s="38"/>
    </row>
    <row r="14" spans="1:10" ht="26.4" outlineLevel="1" x14ac:dyDescent="0.25">
      <c r="A14" s="231" t="s">
        <v>185</v>
      </c>
      <c r="B14" s="233"/>
      <c r="C14" s="57"/>
      <c r="D14" s="58"/>
      <c r="E14" s="21"/>
      <c r="J14" s="145">
        <f>IF(B14="y",1,0)</f>
        <v>0</v>
      </c>
    </row>
    <row r="15" spans="1:10" outlineLevel="1" x14ac:dyDescent="0.25">
      <c r="A15" s="169"/>
      <c r="B15" s="57"/>
      <c r="C15" s="55"/>
      <c r="D15" s="55"/>
      <c r="E15" s="21"/>
      <c r="J15" s="145" t="s">
        <v>141</v>
      </c>
    </row>
    <row r="16" spans="1:10" s="146" customFormat="1" ht="16.2" thickBot="1" x14ac:dyDescent="0.35">
      <c r="A16" s="170" t="s">
        <v>115</v>
      </c>
      <c r="B16" s="56"/>
      <c r="C16" s="56"/>
      <c r="D16" s="56"/>
      <c r="E16" s="40"/>
      <c r="J16" s="152"/>
    </row>
    <row r="17" spans="1:10" outlineLevel="1" x14ac:dyDescent="0.25">
      <c r="A17" s="169" t="s">
        <v>172</v>
      </c>
      <c r="B17" s="55"/>
      <c r="C17" s="59" t="s">
        <v>130</v>
      </c>
      <c r="D17" s="55"/>
      <c r="E17" s="21"/>
      <c r="G17" s="147"/>
    </row>
    <row r="18" spans="1:10" outlineLevel="1" x14ac:dyDescent="0.25">
      <c r="A18" s="171" t="s">
        <v>1</v>
      </c>
      <c r="B18" s="127"/>
      <c r="C18" s="61">
        <f>B18</f>
        <v>0</v>
      </c>
      <c r="D18" s="58" t="str">
        <f>IF(AND((B18&gt;0),(B19&gt;0)), "Do not enter the same income more than once!", "")</f>
        <v/>
      </c>
      <c r="E18" s="21"/>
      <c r="G18" s="147"/>
    </row>
    <row r="19" spans="1:10" outlineLevel="1" x14ac:dyDescent="0.25">
      <c r="A19" s="171" t="s">
        <v>0</v>
      </c>
      <c r="B19" s="127"/>
      <c r="C19" s="60">
        <f>B19*4.333</f>
        <v>0</v>
      </c>
      <c r="D19" s="58" t="str">
        <f>IF(AND((B18&gt;0),(B19&gt;0)), "Do not enter the same income more than once!", "")</f>
        <v/>
      </c>
      <c r="E19" s="21"/>
      <c r="G19" s="147"/>
    </row>
    <row r="20" spans="1:10" s="105" customFormat="1" outlineLevel="1" x14ac:dyDescent="0.25">
      <c r="A20" s="172" t="s">
        <v>37</v>
      </c>
      <c r="B20" s="28">
        <f>SUM(C18:C19)</f>
        <v>0</v>
      </c>
      <c r="C20" s="28"/>
      <c r="D20" s="29"/>
      <c r="E20" s="30"/>
      <c r="G20" s="106"/>
      <c r="J20" s="153"/>
    </row>
    <row r="21" spans="1:10" s="105" customFormat="1" outlineLevel="1" x14ac:dyDescent="0.25">
      <c r="A21" s="169" t="s">
        <v>171</v>
      </c>
      <c r="B21" s="173"/>
      <c r="C21" s="59" t="s">
        <v>131</v>
      </c>
      <c r="D21" s="84"/>
      <c r="E21" s="30"/>
      <c r="G21" s="106"/>
      <c r="J21" s="153"/>
    </row>
    <row r="22" spans="1:10" s="105" customFormat="1" outlineLevel="1" x14ac:dyDescent="0.25">
      <c r="A22" s="171" t="s">
        <v>1</v>
      </c>
      <c r="B22" s="127"/>
      <c r="C22" s="61">
        <f>B22</f>
        <v>0</v>
      </c>
      <c r="D22" s="58" t="str">
        <f>IF((AND(B23&gt;0, B22&gt;0)), "Do not enter the same income more than once!", "")</f>
        <v/>
      </c>
      <c r="E22" s="30"/>
      <c r="G22" s="106"/>
      <c r="J22" s="153"/>
    </row>
    <row r="23" spans="1:10" s="105" customFormat="1" outlineLevel="1" x14ac:dyDescent="0.25">
      <c r="A23" s="171" t="s">
        <v>0</v>
      </c>
      <c r="B23" s="127"/>
      <c r="C23" s="60">
        <f>B23*4.333</f>
        <v>0</v>
      </c>
      <c r="D23" s="58" t="str">
        <f>IF((AND(B22&gt;0, B23&gt;0)), "Do not enter the same income more than once!", "")</f>
        <v/>
      </c>
      <c r="E23" s="30"/>
      <c r="G23" s="106"/>
      <c r="J23" s="153"/>
    </row>
    <row r="24" spans="1:10" outlineLevel="1" x14ac:dyDescent="0.25">
      <c r="A24" s="174" t="s">
        <v>79</v>
      </c>
      <c r="B24" s="85">
        <f>SUM(C22:C23)</f>
        <v>0</v>
      </c>
      <c r="C24" s="27"/>
      <c r="D24" s="27"/>
      <c r="E24" s="21"/>
      <c r="G24" s="147"/>
    </row>
    <row r="25" spans="1:10" ht="12" customHeight="1" outlineLevel="1" x14ac:dyDescent="0.25">
      <c r="A25" s="175"/>
      <c r="B25" s="229"/>
      <c r="C25" s="157"/>
      <c r="D25" s="157"/>
      <c r="E25" s="114"/>
      <c r="G25" s="147"/>
    </row>
    <row r="26" spans="1:10" ht="13.8" outlineLevel="1" thickBot="1" x14ac:dyDescent="0.3">
      <c r="A26" s="175" t="s">
        <v>186</v>
      </c>
      <c r="B26" s="127"/>
      <c r="C26" s="158">
        <f>B26</f>
        <v>0</v>
      </c>
      <c r="D26" s="157"/>
      <c r="E26" s="21"/>
      <c r="G26" s="147"/>
    </row>
    <row r="27" spans="1:10" s="148" customFormat="1" outlineLevel="1" x14ac:dyDescent="0.25">
      <c r="A27" s="176" t="s">
        <v>152</v>
      </c>
      <c r="B27" s="177">
        <f>SUM((B20+B24)-B26)</f>
        <v>0</v>
      </c>
      <c r="C27" s="124"/>
      <c r="D27" s="27"/>
      <c r="E27" s="36"/>
      <c r="J27" s="153"/>
    </row>
    <row r="28" spans="1:10" ht="13.8" outlineLevel="1" thickBot="1" x14ac:dyDescent="0.3">
      <c r="A28" s="178"/>
      <c r="B28" s="179"/>
      <c r="C28" s="55"/>
      <c r="D28" s="55"/>
      <c r="E28" s="21"/>
      <c r="J28" s="145" t="e">
        <f>IF(B27&lt;=#REF!,1,0)</f>
        <v>#REF!</v>
      </c>
    </row>
    <row r="29" spans="1:10" ht="16.2" outlineLevel="1" thickBot="1" x14ac:dyDescent="0.35">
      <c r="A29" s="180" t="s">
        <v>187</v>
      </c>
      <c r="B29" s="128"/>
      <c r="C29" s="55"/>
      <c r="D29" s="55"/>
      <c r="E29" s="21"/>
    </row>
    <row r="30" spans="1:10" outlineLevel="1" x14ac:dyDescent="0.25">
      <c r="A30" s="181"/>
      <c r="B30" s="61"/>
      <c r="C30" s="62"/>
      <c r="D30" s="62"/>
      <c r="E30" s="21"/>
      <c r="J30" s="145" t="e">
        <f>IF(#REF!="yes",1,0)</f>
        <v>#REF!</v>
      </c>
    </row>
    <row r="31" spans="1:10" outlineLevel="1" x14ac:dyDescent="0.25">
      <c r="A31" s="182" t="s">
        <v>188</v>
      </c>
      <c r="B31" s="63" t="e">
        <f>IF(HH_SIZE&lt;=8,
 LOOKUP(HH_SIZE,'SNAP numbers -inform calc'!A22:B29),
 'SNAP numbers -inform calc'!B29+((HH_SIZE-8)*'SNAP numbers -inform calc'!B30))</f>
        <v>#N/A</v>
      </c>
      <c r="C31" s="55"/>
      <c r="D31" s="55"/>
      <c r="E31" s="21"/>
    </row>
    <row r="32" spans="1:10" outlineLevel="1" x14ac:dyDescent="0.25">
      <c r="A32" s="183" t="s">
        <v>145</v>
      </c>
      <c r="B32" s="184" t="e">
        <f>IF(AND((B27&gt;B31),(B14="y")),"Yes, assets must be &lt;=$3,500","no")</f>
        <v>#N/A</v>
      </c>
      <c r="C32" s="55"/>
      <c r="D32" s="126"/>
      <c r="E32" s="21"/>
    </row>
    <row r="33" spans="1:10" outlineLevel="1" x14ac:dyDescent="0.25">
      <c r="A33" s="232" t="s">
        <v>164</v>
      </c>
      <c r="B33" s="184" t="e">
        <f>IF(AND((B27&gt;B31),(B14="y")),"Yes","no")</f>
        <v>#N/A</v>
      </c>
      <c r="C33" s="55"/>
      <c r="D33" s="126"/>
      <c r="E33" s="21"/>
    </row>
    <row r="34" spans="1:10" ht="13.8" outlineLevel="1" thickBot="1" x14ac:dyDescent="0.3">
      <c r="A34" s="168"/>
      <c r="B34" s="185"/>
      <c r="C34" s="186"/>
      <c r="D34" s="55"/>
      <c r="E34" s="21"/>
    </row>
    <row r="35" spans="1:10" s="102" customFormat="1" ht="16.8" thickTop="1" thickBot="1" x14ac:dyDescent="0.35">
      <c r="A35" s="187" t="s">
        <v>116</v>
      </c>
      <c r="B35" s="188" t="e">
        <f>IF(B14="y","PASSED",(IF(B27&lt;=B31,"PASSED","FAILED")))</f>
        <v>#N/A</v>
      </c>
      <c r="C35" s="125" t="e">
        <f>IF(B35="FAILED", "STOP; do not continue", "")</f>
        <v>#N/A</v>
      </c>
      <c r="D35" s="138"/>
      <c r="E35" s="39"/>
      <c r="J35" s="145" t="e">
        <f>IF(#REF!="y",1,0)</f>
        <v>#REF!</v>
      </c>
    </row>
    <row r="36" spans="1:10" ht="13.8" thickTop="1" x14ac:dyDescent="0.25">
      <c r="A36" s="189"/>
      <c r="B36" s="190"/>
      <c r="C36" s="55"/>
      <c r="D36" s="55"/>
      <c r="E36" s="21"/>
      <c r="J36" s="145" t="e">
        <f>IF(#REF!="y",1,0)</f>
        <v>#REF!</v>
      </c>
    </row>
    <row r="37" spans="1:10" s="102" customFormat="1" ht="16.2" thickBot="1" x14ac:dyDescent="0.35">
      <c r="A37" s="191" t="s">
        <v>165</v>
      </c>
      <c r="B37" s="64"/>
      <c r="C37" s="64"/>
      <c r="D37" s="64"/>
      <c r="E37" s="41"/>
      <c r="J37" s="145">
        <f>IF(B14="y",1,0)</f>
        <v>0</v>
      </c>
    </row>
    <row r="38" spans="1:10" s="26" customFormat="1" ht="15.6" outlineLevel="1" x14ac:dyDescent="0.3">
      <c r="A38" s="192" t="s">
        <v>117</v>
      </c>
      <c r="B38" s="132"/>
      <c r="C38" s="132"/>
      <c r="D38" s="132"/>
      <c r="E38" s="35" t="s">
        <v>35</v>
      </c>
      <c r="J38" s="154" t="e">
        <f>SUM(J35:J37)</f>
        <v>#REF!</v>
      </c>
    </row>
    <row r="39" spans="1:10" outlineLevel="1" x14ac:dyDescent="0.25">
      <c r="A39" s="171"/>
      <c r="B39" s="55"/>
      <c r="C39" s="55"/>
      <c r="D39" s="55"/>
      <c r="E39" s="21"/>
      <c r="J39" s="142"/>
    </row>
    <row r="40" spans="1:10" s="149" customFormat="1" outlineLevel="1" x14ac:dyDescent="0.25">
      <c r="A40" s="193" t="s">
        <v>118</v>
      </c>
      <c r="B40" s="24" t="e">
        <f>IF(HH_SIZE&lt;6, LOOKUP(HH_SIZE, 'SNAP numbers -inform calc'!A34:B38), stddeduct_6over)</f>
        <v>#N/A</v>
      </c>
      <c r="C40" s="22"/>
      <c r="D40" s="22"/>
      <c r="E40" s="37" t="s">
        <v>27</v>
      </c>
      <c r="J40" s="145"/>
    </row>
    <row r="41" spans="1:10" outlineLevel="1" x14ac:dyDescent="0.25">
      <c r="A41" s="171"/>
      <c r="B41" s="55"/>
      <c r="C41" s="55"/>
      <c r="D41" s="55"/>
      <c r="E41" s="21"/>
      <c r="J41" s="155" t="e">
        <f>IF(#REF!=1,1,0)</f>
        <v>#REF!</v>
      </c>
    </row>
    <row r="42" spans="1:10" s="149" customFormat="1" outlineLevel="1" x14ac:dyDescent="0.25">
      <c r="A42" s="193" t="s">
        <v>119</v>
      </c>
      <c r="B42" s="24">
        <f>Earned_Income*earned_income_deduction</f>
        <v>0</v>
      </c>
      <c r="C42" s="23"/>
      <c r="D42" s="22"/>
      <c r="E42" s="37" t="s">
        <v>26</v>
      </c>
      <c r="J42" s="145" t="s">
        <v>141</v>
      </c>
    </row>
    <row r="43" spans="1:10" outlineLevel="1" x14ac:dyDescent="0.25">
      <c r="A43" s="171"/>
      <c r="B43" s="55"/>
      <c r="C43" s="55"/>
      <c r="D43" s="55"/>
      <c r="E43" s="21"/>
      <c r="J43" s="155"/>
    </row>
    <row r="44" spans="1:10" ht="30" customHeight="1" outlineLevel="1" x14ac:dyDescent="0.25">
      <c r="A44" s="230" t="str">
        <f>IF(B14="y", "Medical Expenses", "SKIP THIS Excess Medical Deduction section if no elder or disabled person in household")</f>
        <v>SKIP THIS Excess Medical Deduction section if no elder or disabled person in household</v>
      </c>
      <c r="B44" s="99"/>
      <c r="C44" s="261"/>
      <c r="D44" s="262"/>
      <c r="E44" s="21" t="s">
        <v>36</v>
      </c>
    </row>
    <row r="45" spans="1:10" outlineLevel="1" x14ac:dyDescent="0.25">
      <c r="A45" s="194"/>
      <c r="B45" s="195" t="str">
        <f>IF(B14="y","$35.00"," ")</f>
        <v xml:space="preserve"> </v>
      </c>
      <c r="C45" s="248" t="str">
        <f>IF(B14="y","Standard $155 deduction allowed if expenses are $35-$190/month. Actual amount minus $35' allowed if over $190/mo."," ")</f>
        <v xml:space="preserve"> </v>
      </c>
      <c r="D45" s="248"/>
      <c r="E45" s="21"/>
    </row>
    <row r="46" spans="1:10" s="149" customFormat="1" outlineLevel="1" x14ac:dyDescent="0.25">
      <c r="A46" s="196" t="s">
        <v>120</v>
      </c>
      <c r="B46" s="131">
        <f>IF(Household_SSI="y",IF(B44&gt;189.99,B44-B45,IF(B44-B45&lt;0,0,155)),0)</f>
        <v>0</v>
      </c>
      <c r="C46" s="248"/>
      <c r="D46" s="248"/>
      <c r="E46" s="37"/>
      <c r="J46" s="145"/>
    </row>
    <row r="47" spans="1:10" s="149" customFormat="1" outlineLevel="1" x14ac:dyDescent="0.25">
      <c r="A47" s="259"/>
      <c r="B47" s="260"/>
      <c r="C47" s="248"/>
      <c r="D47" s="248"/>
      <c r="E47" s="37"/>
      <c r="J47" s="155"/>
    </row>
    <row r="48" spans="1:10" outlineLevel="1" x14ac:dyDescent="0.25">
      <c r="A48" s="171"/>
      <c r="B48" s="197"/>
      <c r="C48" s="198"/>
      <c r="D48" s="198"/>
      <c r="E48" s="21"/>
      <c r="J48" s="155"/>
    </row>
    <row r="49" spans="1:10" ht="26.4" outlineLevel="1" x14ac:dyDescent="0.25">
      <c r="A49" s="171" t="s">
        <v>189</v>
      </c>
      <c r="B49" s="257" t="s">
        <v>132</v>
      </c>
      <c r="C49" s="258"/>
      <c r="D49" s="55"/>
      <c r="E49" s="21" t="s">
        <v>19</v>
      </c>
    </row>
    <row r="50" spans="1:10" ht="12.75" customHeight="1" outlineLevel="1" x14ac:dyDescent="0.25">
      <c r="A50" s="199" t="s">
        <v>108</v>
      </c>
      <c r="B50" s="127"/>
      <c r="C50" s="65" t="s">
        <v>34</v>
      </c>
      <c r="D50" s="246"/>
      <c r="E50" s="21"/>
    </row>
    <row r="51" spans="1:10" outlineLevel="1" x14ac:dyDescent="0.25">
      <c r="A51" s="199" t="s">
        <v>109</v>
      </c>
      <c r="B51" s="127"/>
      <c r="C51" s="65" t="s">
        <v>34</v>
      </c>
      <c r="D51" s="247"/>
      <c r="E51" s="21"/>
    </row>
    <row r="52" spans="1:10" outlineLevel="1" x14ac:dyDescent="0.25">
      <c r="A52" s="199" t="s">
        <v>110</v>
      </c>
      <c r="B52" s="127"/>
      <c r="C52" s="65" t="s">
        <v>34</v>
      </c>
      <c r="D52" s="247"/>
      <c r="E52" s="21"/>
    </row>
    <row r="53" spans="1:10" ht="13.8" outlineLevel="1" thickBot="1" x14ac:dyDescent="0.3">
      <c r="A53" s="199" t="s">
        <v>111</v>
      </c>
      <c r="B53" s="129"/>
      <c r="C53" s="65" t="s">
        <v>34</v>
      </c>
      <c r="D53" s="247"/>
      <c r="E53" s="21"/>
    </row>
    <row r="54" spans="1:10" s="149" customFormat="1" outlineLevel="1" x14ac:dyDescent="0.25">
      <c r="A54" s="200" t="s">
        <v>121</v>
      </c>
      <c r="B54" s="201">
        <f>SUM(B50:B53)</f>
        <v>0</v>
      </c>
      <c r="C54" s="103"/>
      <c r="D54" s="24"/>
      <c r="E54" s="37"/>
      <c r="J54" s="145"/>
    </row>
    <row r="55" spans="1:10" outlineLevel="1" x14ac:dyDescent="0.25">
      <c r="A55" s="171"/>
      <c r="B55" s="55"/>
      <c r="C55" s="65"/>
      <c r="D55" s="55"/>
      <c r="E55" s="21"/>
      <c r="J55" s="155"/>
    </row>
    <row r="56" spans="1:10" s="149" customFormat="1" outlineLevel="1" x14ac:dyDescent="0.25">
      <c r="A56" s="202" t="s">
        <v>61</v>
      </c>
      <c r="B56" s="66"/>
      <c r="C56" s="63"/>
      <c r="D56" s="66"/>
      <c r="E56" s="37"/>
      <c r="J56" s="145"/>
    </row>
    <row r="57" spans="1:10" outlineLevel="1" x14ac:dyDescent="0.25">
      <c r="A57" s="203" t="s">
        <v>53</v>
      </c>
      <c r="B57" s="204">
        <f>B26</f>
        <v>0</v>
      </c>
      <c r="C57" s="55"/>
      <c r="D57" s="55"/>
      <c r="E57" s="21"/>
      <c r="J57" s="155"/>
    </row>
    <row r="58" spans="1:10" s="149" customFormat="1" outlineLevel="1" x14ac:dyDescent="0.25">
      <c r="A58" s="193" t="s">
        <v>122</v>
      </c>
      <c r="B58" s="25">
        <f>B57</f>
        <v>0</v>
      </c>
      <c r="C58" s="22"/>
      <c r="D58" s="22"/>
      <c r="E58" s="21" t="s">
        <v>62</v>
      </c>
      <c r="J58" s="145"/>
    </row>
    <row r="59" spans="1:10" ht="13.8" outlineLevel="1" thickBot="1" x14ac:dyDescent="0.3">
      <c r="A59" s="171"/>
      <c r="B59" s="55"/>
      <c r="C59" s="55"/>
      <c r="D59" s="55"/>
      <c r="E59" s="21"/>
      <c r="J59" s="155"/>
    </row>
    <row r="60" spans="1:10" s="149" customFormat="1" outlineLevel="1" x14ac:dyDescent="0.25">
      <c r="A60" s="176" t="s">
        <v>134</v>
      </c>
      <c r="B60" s="109" t="e">
        <f>IF((B20+B24)-STEP3-STEP4-STEP5-STEP6-STEP8&lt;0, 0, (B20+B24)-STEP3-STEP4-STEP5-STEP6-STEP8)</f>
        <v>#N/A</v>
      </c>
      <c r="C60" s="22"/>
      <c r="D60" s="22"/>
      <c r="E60" s="37"/>
      <c r="J60" s="145"/>
    </row>
    <row r="61" spans="1:10" ht="13.8" outlineLevel="1" thickBot="1" x14ac:dyDescent="0.3">
      <c r="A61" s="169"/>
      <c r="B61" s="55"/>
      <c r="C61" s="55"/>
      <c r="D61" s="55"/>
      <c r="E61" s="21"/>
      <c r="J61" s="155"/>
    </row>
    <row r="62" spans="1:10" outlineLevel="1" x14ac:dyDescent="0.25">
      <c r="A62" s="192" t="s">
        <v>123</v>
      </c>
      <c r="B62" s="133"/>
      <c r="C62" s="133"/>
      <c r="D62" s="133"/>
      <c r="E62" s="21"/>
    </row>
    <row r="63" spans="1:10" outlineLevel="1" x14ac:dyDescent="0.25">
      <c r="A63" s="203" t="s">
        <v>150</v>
      </c>
      <c r="B63" s="134"/>
      <c r="C63" s="67"/>
      <c r="D63" s="58"/>
      <c r="E63" s="21"/>
    </row>
    <row r="64" spans="1:10" outlineLevel="1" x14ac:dyDescent="0.25">
      <c r="A64" s="205" t="str">
        <f>IF(B63="y","NO SHELTER DEDUCTION: Skip This Step.","")</f>
        <v/>
      </c>
      <c r="B64" s="55"/>
      <c r="C64" s="55"/>
      <c r="D64" s="68"/>
      <c r="E64" s="21"/>
    </row>
    <row r="65" spans="1:5" outlineLevel="1" x14ac:dyDescent="0.25">
      <c r="A65" s="202" t="s">
        <v>133</v>
      </c>
      <c r="B65" s="55"/>
      <c r="C65" s="55"/>
      <c r="D65" s="68"/>
      <c r="E65" s="21"/>
    </row>
    <row r="66" spans="1:5" outlineLevel="1" x14ac:dyDescent="0.25">
      <c r="A66" s="203" t="s">
        <v>7</v>
      </c>
      <c r="B66" s="55"/>
      <c r="C66" s="55"/>
      <c r="D66" s="68"/>
      <c r="E66" s="21"/>
    </row>
    <row r="67" spans="1:5" outlineLevel="1" x14ac:dyDescent="0.25">
      <c r="A67" s="206" t="s">
        <v>3</v>
      </c>
      <c r="B67" s="127"/>
      <c r="C67" s="55" t="s">
        <v>34</v>
      </c>
      <c r="D67" s="68"/>
      <c r="E67" s="21" t="s">
        <v>28</v>
      </c>
    </row>
    <row r="68" spans="1:5" outlineLevel="1" x14ac:dyDescent="0.25">
      <c r="A68" s="206" t="s">
        <v>166</v>
      </c>
      <c r="B68" s="127"/>
      <c r="C68" s="55" t="s">
        <v>34</v>
      </c>
      <c r="D68" s="68"/>
      <c r="E68" s="21" t="s">
        <v>29</v>
      </c>
    </row>
    <row r="69" spans="1:5" outlineLevel="1" x14ac:dyDescent="0.25">
      <c r="A69" s="206" t="s">
        <v>167</v>
      </c>
      <c r="B69" s="135"/>
      <c r="C69" s="55" t="s">
        <v>34</v>
      </c>
      <c r="D69" s="68"/>
      <c r="E69" s="21" t="s">
        <v>29</v>
      </c>
    </row>
    <row r="70" spans="1:5" outlineLevel="1" x14ac:dyDescent="0.25">
      <c r="A70" s="207" t="s">
        <v>135</v>
      </c>
      <c r="B70" s="65">
        <f>SUM(B67:B69)</f>
        <v>0</v>
      </c>
      <c r="C70" s="69"/>
      <c r="D70" s="70"/>
      <c r="E70" s="21"/>
    </row>
    <row r="71" spans="1:5" outlineLevel="1" x14ac:dyDescent="0.25">
      <c r="A71" s="203" t="s">
        <v>149</v>
      </c>
      <c r="B71" s="65"/>
      <c r="C71" s="69"/>
      <c r="D71" s="71"/>
      <c r="E71" s="21"/>
    </row>
    <row r="72" spans="1:5" ht="39.6" outlineLevel="1" x14ac:dyDescent="0.25">
      <c r="A72" s="234" t="s">
        <v>173</v>
      </c>
      <c r="B72" s="42"/>
      <c r="C72" s="67"/>
      <c r="D72" s="58"/>
      <c r="E72" s="21"/>
    </row>
    <row r="73" spans="1:5" ht="26.4" outlineLevel="1" x14ac:dyDescent="0.25">
      <c r="A73" s="206" t="s">
        <v>174</v>
      </c>
      <c r="B73" s="42"/>
      <c r="C73" s="67"/>
      <c r="D73" s="58"/>
      <c r="E73" s="21"/>
    </row>
    <row r="74" spans="1:5" outlineLevel="1" x14ac:dyDescent="0.25">
      <c r="A74" s="208" t="s">
        <v>175</v>
      </c>
      <c r="B74" s="42"/>
      <c r="C74" s="67"/>
      <c r="D74" s="58"/>
      <c r="E74" s="21"/>
    </row>
    <row r="75" spans="1:5" outlineLevel="1" x14ac:dyDescent="0.25">
      <c r="A75" s="208"/>
      <c r="B75" s="65"/>
      <c r="C75" s="67"/>
      <c r="D75" s="72"/>
      <c r="E75" s="21"/>
    </row>
    <row r="76" spans="1:5" outlineLevel="1" x14ac:dyDescent="0.25">
      <c r="A76" s="209" t="s">
        <v>2</v>
      </c>
      <c r="B76" s="210" t="str">
        <f>IF(B72="y", "Heating", IF(B73="y", "Non-heating", IF(AND(B73="n", B74="y"), "Telephone", IF(AND(B73="", B74="y"), "Telephone", "Zero Utility Expenses"))))</f>
        <v>Zero Utility Expenses</v>
      </c>
      <c r="C76" s="67"/>
      <c r="D76" s="70"/>
      <c r="E76" s="21"/>
    </row>
    <row r="77" spans="1:5" outlineLevel="1" x14ac:dyDescent="0.25">
      <c r="A77" s="211" t="s">
        <v>33</v>
      </c>
      <c r="B77" s="65">
        <f>IF(B76="Telephone", 'SNAP numbers -inform calc'!B51,LOOKUP(B76,'SNAP numbers -inform calc'!A48:B50))</f>
        <v>0</v>
      </c>
      <c r="C77" s="73"/>
      <c r="D77" s="74"/>
      <c r="E77" s="21" t="s">
        <v>20</v>
      </c>
    </row>
    <row r="78" spans="1:5" outlineLevel="1" x14ac:dyDescent="0.25">
      <c r="A78" s="212" t="s">
        <v>136</v>
      </c>
      <c r="B78" s="213">
        <f>B70+B77</f>
        <v>0</v>
      </c>
      <c r="C78" s="69"/>
      <c r="D78" s="55"/>
      <c r="E78" s="21"/>
    </row>
    <row r="79" spans="1:5" outlineLevel="1" x14ac:dyDescent="0.25">
      <c r="A79" s="203"/>
      <c r="B79" s="65"/>
      <c r="C79" s="55"/>
      <c r="D79" s="55"/>
      <c r="E79" s="21"/>
    </row>
    <row r="80" spans="1:5" outlineLevel="1" x14ac:dyDescent="0.25">
      <c r="A80" s="208" t="s">
        <v>114</v>
      </c>
      <c r="B80" s="214" t="e">
        <f>PAI*0.5</f>
        <v>#N/A</v>
      </c>
      <c r="C80" s="55"/>
      <c r="D80" s="55"/>
      <c r="E80" s="21" t="s">
        <v>20</v>
      </c>
    </row>
    <row r="81" spans="1:10" outlineLevel="1" x14ac:dyDescent="0.25">
      <c r="A81" s="203" t="s">
        <v>30</v>
      </c>
      <c r="B81" s="61" t="e">
        <f>IF((B78-B80&lt;0), 0, B78-B80)</f>
        <v>#N/A</v>
      </c>
      <c r="C81" s="55"/>
      <c r="D81" s="55"/>
      <c r="E81" s="21"/>
    </row>
    <row r="82" spans="1:10" ht="13.8" outlineLevel="1" thickBot="1" x14ac:dyDescent="0.3">
      <c r="A82" s="203" t="s">
        <v>190</v>
      </c>
      <c r="B82" s="65">
        <f>shelter_cap</f>
        <v>597</v>
      </c>
      <c r="C82" s="55"/>
      <c r="D82" s="55"/>
      <c r="E82" s="21" t="s">
        <v>20</v>
      </c>
    </row>
    <row r="83" spans="1:10" s="149" customFormat="1" outlineLevel="1" x14ac:dyDescent="0.25">
      <c r="A83" s="193" t="s">
        <v>124</v>
      </c>
      <c r="B83" s="109" t="e">
        <f>IF(Household_SSI="y", B81, MIN(B81,B82))</f>
        <v>#N/A</v>
      </c>
      <c r="C83" s="22"/>
      <c r="D83" s="22"/>
      <c r="E83" s="37"/>
      <c r="J83" s="145"/>
    </row>
    <row r="84" spans="1:10" outlineLevel="1" x14ac:dyDescent="0.25">
      <c r="A84" s="171"/>
      <c r="B84" s="65"/>
      <c r="C84" s="55"/>
      <c r="D84" s="55"/>
      <c r="E84" s="21"/>
      <c r="J84" s="155"/>
    </row>
    <row r="85" spans="1:10" outlineLevel="1" x14ac:dyDescent="0.25">
      <c r="A85" s="171" t="str">
        <f>IF(B63="y","Homeless Deduction"," ")</f>
        <v xml:space="preserve"> </v>
      </c>
      <c r="B85" s="65" t="str">
        <f>IF(B63="y", homeless_deduct, " ")</f>
        <v xml:space="preserve"> </v>
      </c>
      <c r="C85" s="55"/>
      <c r="D85" s="55"/>
      <c r="E85" s="21"/>
      <c r="J85" s="155"/>
    </row>
    <row r="86" spans="1:10" s="149" customFormat="1" outlineLevel="1" x14ac:dyDescent="0.25">
      <c r="A86" s="193" t="s">
        <v>151</v>
      </c>
      <c r="B86" s="159" t="str">
        <f>IF(B63="y",B85,"$0.0")</f>
        <v>$0.0</v>
      </c>
      <c r="C86" s="22"/>
      <c r="D86" s="22"/>
      <c r="E86" s="37"/>
      <c r="J86" s="145"/>
    </row>
    <row r="87" spans="1:10" ht="13.8" outlineLevel="1" thickBot="1" x14ac:dyDescent="0.3">
      <c r="A87" s="171"/>
      <c r="B87" s="69"/>
      <c r="C87" s="55"/>
      <c r="D87" s="55"/>
      <c r="E87" s="21"/>
      <c r="J87" s="155"/>
    </row>
    <row r="88" spans="1:10" outlineLevel="1" x14ac:dyDescent="0.25">
      <c r="A88" s="192" t="s">
        <v>125</v>
      </c>
      <c r="B88" s="136"/>
      <c r="C88" s="133"/>
      <c r="D88" s="133"/>
      <c r="E88" s="21" t="s">
        <v>38</v>
      </c>
    </row>
    <row r="89" spans="1:10" outlineLevel="1" x14ac:dyDescent="0.25">
      <c r="A89" s="215" t="s">
        <v>43</v>
      </c>
      <c r="B89" s="61">
        <f>Earned_Income</f>
        <v>0</v>
      </c>
      <c r="C89" s="55"/>
      <c r="D89" s="55"/>
      <c r="E89" s="21" t="s">
        <v>39</v>
      </c>
    </row>
    <row r="90" spans="1:10" outlineLevel="1" x14ac:dyDescent="0.25">
      <c r="A90" s="216" t="s">
        <v>23</v>
      </c>
      <c r="B90" s="61">
        <f>-STEP4</f>
        <v>0</v>
      </c>
      <c r="C90" s="55"/>
      <c r="D90" s="55"/>
      <c r="E90" s="21" t="s">
        <v>40</v>
      </c>
    </row>
    <row r="91" spans="1:10" outlineLevel="1" x14ac:dyDescent="0.25">
      <c r="A91" s="215" t="s">
        <v>44</v>
      </c>
      <c r="B91" s="61">
        <f>Unearned_Income</f>
        <v>0</v>
      </c>
      <c r="C91" s="55"/>
      <c r="D91" s="55"/>
      <c r="E91" s="21" t="s">
        <v>41</v>
      </c>
    </row>
    <row r="92" spans="1:10" outlineLevel="1" x14ac:dyDescent="0.25">
      <c r="A92" s="216" t="s">
        <v>45</v>
      </c>
      <c r="B92" s="61" t="e">
        <f>-STEP3</f>
        <v>#N/A</v>
      </c>
      <c r="C92" s="55"/>
      <c r="D92" s="55"/>
      <c r="E92" s="21" t="s">
        <v>42</v>
      </c>
    </row>
    <row r="93" spans="1:10" outlineLevel="1" x14ac:dyDescent="0.25">
      <c r="A93" s="217" t="s">
        <v>48</v>
      </c>
      <c r="B93" s="130">
        <f>-STEP5</f>
        <v>0</v>
      </c>
      <c r="C93" s="55"/>
      <c r="D93" s="55"/>
      <c r="E93" s="21" t="s">
        <v>113</v>
      </c>
    </row>
    <row r="94" spans="1:10" outlineLevel="1" x14ac:dyDescent="0.25">
      <c r="A94" s="217" t="s">
        <v>92</v>
      </c>
      <c r="B94" s="61">
        <f>-STEP6</f>
        <v>0</v>
      </c>
      <c r="C94" s="55"/>
      <c r="D94" s="55"/>
      <c r="E94" s="21"/>
    </row>
    <row r="95" spans="1:10" outlineLevel="1" x14ac:dyDescent="0.25">
      <c r="A95" s="216" t="s">
        <v>47</v>
      </c>
      <c r="B95" s="61">
        <f>-STEP8</f>
        <v>0</v>
      </c>
      <c r="C95" s="55"/>
      <c r="D95" s="55"/>
      <c r="E95" s="21" t="s">
        <v>46</v>
      </c>
    </row>
    <row r="96" spans="1:10" outlineLevel="1" x14ac:dyDescent="0.25">
      <c r="A96" s="216" t="s">
        <v>54</v>
      </c>
      <c r="B96" s="61">
        <f>-STEP9</f>
        <v>0</v>
      </c>
      <c r="C96" s="55"/>
      <c r="D96" s="55"/>
      <c r="E96" s="21" t="s">
        <v>49</v>
      </c>
    </row>
    <row r="97" spans="1:10" ht="13.8" outlineLevel="1" thickBot="1" x14ac:dyDescent="0.3">
      <c r="A97" s="216" t="s">
        <v>51</v>
      </c>
      <c r="B97" s="61" t="e">
        <f>-STEP7</f>
        <v>#N/A</v>
      </c>
      <c r="C97" s="55"/>
      <c r="D97" s="55"/>
      <c r="E97" s="21" t="s">
        <v>50</v>
      </c>
    </row>
    <row r="98" spans="1:10" s="149" customFormat="1" outlineLevel="1" x14ac:dyDescent="0.25">
      <c r="A98" s="218" t="s">
        <v>137</v>
      </c>
      <c r="B98" s="109" t="e">
        <f>SUM(B89:B97)</f>
        <v>#N/A</v>
      </c>
      <c r="C98" s="22"/>
      <c r="D98" s="22"/>
      <c r="E98" s="37"/>
      <c r="J98" s="145"/>
    </row>
    <row r="99" spans="1:10" s="149" customFormat="1" outlineLevel="1" x14ac:dyDescent="0.25">
      <c r="A99" s="202" t="s">
        <v>55</v>
      </c>
      <c r="B99" s="75" t="e">
        <f>IF(B33="no", "No limit", IF(HH_SIZE&lt;=8, LOOKUP(HH_SIZE,'SNAP numbers -inform calc'!A59:B66), incomenet_max8+((HH_SIZE-8)*incomenet_max_over8)))</f>
        <v>#N/A</v>
      </c>
      <c r="C99" s="63"/>
      <c r="D99" s="66"/>
      <c r="E99" s="237" t="s">
        <v>56</v>
      </c>
      <c r="J99" s="155"/>
    </row>
    <row r="100" spans="1:10" s="149" customFormat="1" ht="13.8" outlineLevel="1" thickBot="1" x14ac:dyDescent="0.3">
      <c r="A100" s="219"/>
      <c r="B100" s="76"/>
      <c r="C100" s="63"/>
      <c r="D100" s="66"/>
      <c r="E100" s="237"/>
      <c r="J100" s="155"/>
    </row>
    <row r="101" spans="1:10" s="102" customFormat="1" ht="16.8" thickTop="1" thickBot="1" x14ac:dyDescent="0.35">
      <c r="A101" s="220" t="s">
        <v>126</v>
      </c>
      <c r="B101" s="188" t="e">
        <f>IF(STEP10&lt;B99, "PASSED", "FAILED")</f>
        <v>#N/A</v>
      </c>
      <c r="C101" s="137" t="e">
        <f>IF(B101="FAILED", "STOP; do not continue", "")</f>
        <v>#N/A</v>
      </c>
      <c r="D101" s="138"/>
      <c r="E101" s="39"/>
      <c r="J101" s="155"/>
    </row>
    <row r="102" spans="1:10" ht="16.2" thickTop="1" x14ac:dyDescent="0.3">
      <c r="A102" s="198"/>
      <c r="B102" s="65"/>
      <c r="C102" s="55"/>
      <c r="D102" s="55"/>
      <c r="E102" s="21"/>
      <c r="J102" s="154"/>
    </row>
    <row r="103" spans="1:10" s="144" customFormat="1" ht="16.2" thickBot="1" x14ac:dyDescent="0.35">
      <c r="A103" s="165" t="s">
        <v>139</v>
      </c>
      <c r="B103" s="166"/>
      <c r="C103" s="166"/>
      <c r="D103" s="166"/>
      <c r="E103" s="86"/>
      <c r="J103" s="145"/>
    </row>
    <row r="104" spans="1:10" s="150" customFormat="1" ht="15.6" x14ac:dyDescent="0.3">
      <c r="A104" s="221" t="s">
        <v>138</v>
      </c>
      <c r="B104" s="221"/>
      <c r="C104" s="221"/>
      <c r="D104" s="221"/>
      <c r="E104" s="88"/>
      <c r="J104" s="151"/>
    </row>
    <row r="105" spans="1:10" x14ac:dyDescent="0.25">
      <c r="A105" s="198" t="str">
        <f>TEXT(netincome_percent,"0%") &amp; " of Net Income"</f>
        <v>30% of Net Income</v>
      </c>
      <c r="B105" s="78" t="e">
        <f>STEP10*netincome_percent</f>
        <v>#N/A</v>
      </c>
      <c r="C105" s="55"/>
      <c r="D105" s="55"/>
      <c r="E105" s="21"/>
      <c r="J105" s="156"/>
    </row>
    <row r="106" spans="1:10" s="149" customFormat="1" x14ac:dyDescent="0.25">
      <c r="A106" s="222" t="s">
        <v>127</v>
      </c>
      <c r="B106" s="24" t="e">
        <f>IF(B105&gt;0, B105, 0)</f>
        <v>#N/A</v>
      </c>
      <c r="C106" s="22"/>
      <c r="D106" s="22"/>
      <c r="E106" s="37"/>
      <c r="J106" s="145"/>
    </row>
    <row r="107" spans="1:10" ht="13.8" thickBot="1" x14ac:dyDescent="0.3">
      <c r="A107" s="163"/>
      <c r="B107" s="55"/>
      <c r="C107" s="55"/>
      <c r="D107" s="55"/>
      <c r="E107" s="21"/>
      <c r="J107" s="155"/>
    </row>
    <row r="108" spans="1:10" x14ac:dyDescent="0.25">
      <c r="A108" s="223" t="s">
        <v>140</v>
      </c>
      <c r="B108" s="133"/>
      <c r="C108" s="133"/>
      <c r="D108" s="133"/>
      <c r="E108" s="21"/>
    </row>
    <row r="109" spans="1:10" x14ac:dyDescent="0.25">
      <c r="A109" s="163" t="s">
        <v>161</v>
      </c>
      <c r="B109" s="69" t="e">
        <f>IF(HH_SIZE&lt;=8, LOOKUP(HH_SIZE, 'SNAP numbers -inform calc'!A72:B79), max_fs_household8+((HH_SIZE-8)*max_fs_household_add))</f>
        <v>#N/A</v>
      </c>
      <c r="C109" s="55"/>
      <c r="D109" s="55"/>
      <c r="E109" s="21" t="s">
        <v>57</v>
      </c>
    </row>
    <row r="110" spans="1:10" x14ac:dyDescent="0.25">
      <c r="A110" s="55" t="s">
        <v>128</v>
      </c>
      <c r="B110" s="79" t="e">
        <f>-STEP11</f>
        <v>#N/A</v>
      </c>
      <c r="C110" s="55"/>
      <c r="D110" s="55"/>
      <c r="E110" s="21"/>
    </row>
    <row r="111" spans="1:10" ht="13.8" thickBot="1" x14ac:dyDescent="0.3">
      <c r="A111" s="55"/>
      <c r="B111" s="79"/>
      <c r="C111" s="55"/>
      <c r="D111" s="55"/>
      <c r="E111" s="21"/>
    </row>
    <row r="112" spans="1:10" ht="32.4" thickTop="1" thickBot="1" x14ac:dyDescent="0.35">
      <c r="A112" s="187" t="s">
        <v>191</v>
      </c>
      <c r="B112" s="139" t="e">
        <f>IF(AND(B35="PASSED", B101="PASSED"),IF((B109+B110)&lt;=minimum_grant_hh_size_amount,(IF(HH_SIZE&lt;=minimum_grant_hh_size, minimum_grant_hh_size_amount, 0)),B109+B110), 0)</f>
        <v>#N/A</v>
      </c>
      <c r="C112" s="138"/>
      <c r="E112" s="21"/>
    </row>
    <row r="113" spans="1:5" ht="190.5" customHeight="1" thickTop="1" thickBot="1" x14ac:dyDescent="0.35">
      <c r="A113" s="224"/>
      <c r="B113" s="100"/>
      <c r="C113" s="101"/>
      <c r="D113" s="187" t="s">
        <v>192</v>
      </c>
      <c r="E113" s="21"/>
    </row>
    <row r="114" spans="1:5" ht="31.8" thickTop="1" x14ac:dyDescent="0.3">
      <c r="A114" s="225" t="s">
        <v>107</v>
      </c>
      <c r="B114" s="140">
        <f>'Bay State CAP'!B16</f>
        <v>0</v>
      </c>
      <c r="C114" s="98"/>
      <c r="E114" s="21"/>
    </row>
    <row r="115" spans="1:5" ht="15.6" x14ac:dyDescent="0.3">
      <c r="A115" s="226"/>
      <c r="B115" s="100"/>
      <c r="C115" s="101"/>
      <c r="D115" s="101"/>
      <c r="E115" s="114"/>
    </row>
    <row r="116" spans="1:5" ht="13.8" thickBot="1" x14ac:dyDescent="0.3">
      <c r="A116" s="227"/>
      <c r="B116" s="228"/>
      <c r="C116" s="228"/>
      <c r="D116" s="126"/>
      <c r="E116" s="114"/>
    </row>
    <row r="117" spans="1:5" ht="16.8" thickTop="1" thickBot="1" x14ac:dyDescent="0.35">
      <c r="A117" s="251" t="s">
        <v>70</v>
      </c>
      <c r="B117" s="252"/>
      <c r="C117" s="253"/>
      <c r="D117" s="228"/>
      <c r="E117" s="108"/>
    </row>
    <row r="118" spans="1:5" ht="13.8" thickTop="1" x14ac:dyDescent="0.25">
      <c r="A118" s="227"/>
      <c r="B118" s="228"/>
      <c r="C118" s="228"/>
      <c r="D118" s="228"/>
      <c r="E118" s="108"/>
    </row>
    <row r="119" spans="1:5" x14ac:dyDescent="0.25">
      <c r="A119" s="227"/>
      <c r="B119" s="228"/>
      <c r="C119" s="228"/>
      <c r="D119" s="228"/>
      <c r="E119" s="108"/>
    </row>
    <row r="120" spans="1:5" x14ac:dyDescent="0.25">
      <c r="A120" s="227"/>
      <c r="B120" s="228"/>
      <c r="C120" s="228"/>
      <c r="D120" s="228"/>
      <c r="E120" s="108"/>
    </row>
    <row r="121" spans="1:5" x14ac:dyDescent="0.25">
      <c r="A121" s="227"/>
      <c r="B121" s="228"/>
      <c r="C121" s="228"/>
      <c r="D121" s="228"/>
      <c r="E121" s="108"/>
    </row>
    <row r="122" spans="1:5" x14ac:dyDescent="0.25">
      <c r="A122" s="227"/>
      <c r="B122" s="228"/>
      <c r="C122" s="228"/>
      <c r="D122" s="228"/>
      <c r="E122" s="108"/>
    </row>
    <row r="123" spans="1:5" x14ac:dyDescent="0.25">
      <c r="A123" s="227"/>
      <c r="B123" s="228"/>
      <c r="C123" s="228"/>
      <c r="D123" s="228"/>
      <c r="E123" s="108"/>
    </row>
    <row r="124" spans="1:5" x14ac:dyDescent="0.25">
      <c r="A124" s="227"/>
      <c r="B124" s="228"/>
      <c r="C124" s="228"/>
      <c r="D124" s="228"/>
      <c r="E124" s="108"/>
    </row>
    <row r="125" spans="1:5" x14ac:dyDescent="0.25">
      <c r="E125" s="108"/>
    </row>
    <row r="126" spans="1:5" x14ac:dyDescent="0.25">
      <c r="E126" s="108"/>
    </row>
    <row r="127" spans="1:5" x14ac:dyDescent="0.25">
      <c r="E127" s="108"/>
    </row>
    <row r="128" spans="1:5" x14ac:dyDescent="0.25">
      <c r="E128" s="108"/>
    </row>
    <row r="129" spans="5:5" x14ac:dyDescent="0.25">
      <c r="E129" s="108"/>
    </row>
    <row r="130" spans="5:5" x14ac:dyDescent="0.25">
      <c r="E130" s="108"/>
    </row>
    <row r="131" spans="5:5" x14ac:dyDescent="0.25">
      <c r="E131" s="108"/>
    </row>
    <row r="132" spans="5:5" x14ac:dyDescent="0.25">
      <c r="E132" s="108"/>
    </row>
    <row r="133" spans="5:5" x14ac:dyDescent="0.25">
      <c r="E133" s="108"/>
    </row>
    <row r="134" spans="5:5" x14ac:dyDescent="0.25">
      <c r="E134" s="108"/>
    </row>
    <row r="135" spans="5:5" x14ac:dyDescent="0.25">
      <c r="E135" s="108"/>
    </row>
    <row r="136" spans="5:5" x14ac:dyDescent="0.25">
      <c r="E136" s="108"/>
    </row>
    <row r="137" spans="5:5" x14ac:dyDescent="0.25">
      <c r="E137" s="108"/>
    </row>
    <row r="138" spans="5:5" x14ac:dyDescent="0.25">
      <c r="E138" s="108"/>
    </row>
    <row r="139" spans="5:5" x14ac:dyDescent="0.25">
      <c r="E139" s="108"/>
    </row>
    <row r="140" spans="5:5" x14ac:dyDescent="0.25">
      <c r="E140" s="108"/>
    </row>
    <row r="141" spans="5:5" x14ac:dyDescent="0.25">
      <c r="E141" s="108"/>
    </row>
    <row r="142" spans="5:5" x14ac:dyDescent="0.25">
      <c r="E142" s="108"/>
    </row>
    <row r="143" spans="5:5" x14ac:dyDescent="0.25">
      <c r="E143" s="108"/>
    </row>
    <row r="144" spans="5:5" x14ac:dyDescent="0.25">
      <c r="E144" s="108"/>
    </row>
    <row r="145" spans="5:5" x14ac:dyDescent="0.25">
      <c r="E145" s="108"/>
    </row>
    <row r="146" spans="5:5" x14ac:dyDescent="0.25">
      <c r="E146" s="108"/>
    </row>
    <row r="147" spans="5:5" x14ac:dyDescent="0.25">
      <c r="E147" s="108"/>
    </row>
    <row r="148" spans="5:5" x14ac:dyDescent="0.25">
      <c r="E148" s="108"/>
    </row>
    <row r="149" spans="5:5" x14ac:dyDescent="0.25">
      <c r="E149" s="108"/>
    </row>
    <row r="150" spans="5:5" x14ac:dyDescent="0.25">
      <c r="E150" s="108"/>
    </row>
    <row r="151" spans="5:5" x14ac:dyDescent="0.25">
      <c r="E151" s="108"/>
    </row>
    <row r="152" spans="5:5" x14ac:dyDescent="0.25">
      <c r="E152" s="108"/>
    </row>
    <row r="153" spans="5:5" x14ac:dyDescent="0.25">
      <c r="E153" s="108"/>
    </row>
    <row r="154" spans="5:5" x14ac:dyDescent="0.25">
      <c r="E154" s="108"/>
    </row>
    <row r="155" spans="5:5" x14ac:dyDescent="0.25">
      <c r="E155" s="108"/>
    </row>
    <row r="156" spans="5:5" x14ac:dyDescent="0.25">
      <c r="E156" s="108"/>
    </row>
    <row r="157" spans="5:5" x14ac:dyDescent="0.25">
      <c r="E157" s="108"/>
    </row>
    <row r="158" spans="5:5" x14ac:dyDescent="0.25">
      <c r="E158" s="108"/>
    </row>
    <row r="159" spans="5:5" x14ac:dyDescent="0.25">
      <c r="E159" s="108"/>
    </row>
    <row r="160" spans="5:5" x14ac:dyDescent="0.25">
      <c r="E160" s="108"/>
    </row>
    <row r="161" spans="5:5" x14ac:dyDescent="0.25">
      <c r="E161" s="108"/>
    </row>
    <row r="162" spans="5:5" x14ac:dyDescent="0.25">
      <c r="E162" s="108"/>
    </row>
    <row r="163" spans="5:5" x14ac:dyDescent="0.25">
      <c r="E163" s="108"/>
    </row>
    <row r="164" spans="5:5" x14ac:dyDescent="0.25">
      <c r="E164" s="108"/>
    </row>
    <row r="165" spans="5:5" x14ac:dyDescent="0.25">
      <c r="E165" s="108"/>
    </row>
    <row r="166" spans="5:5" x14ac:dyDescent="0.25">
      <c r="E166" s="108"/>
    </row>
    <row r="167" spans="5:5" x14ac:dyDescent="0.25">
      <c r="E167" s="108"/>
    </row>
    <row r="168" spans="5:5" x14ac:dyDescent="0.25">
      <c r="E168" s="108"/>
    </row>
    <row r="169" spans="5:5" x14ac:dyDescent="0.25">
      <c r="E169" s="108"/>
    </row>
    <row r="170" spans="5:5" x14ac:dyDescent="0.25">
      <c r="E170" s="108"/>
    </row>
    <row r="171" spans="5:5" x14ac:dyDescent="0.25">
      <c r="E171" s="108"/>
    </row>
    <row r="172" spans="5:5" x14ac:dyDescent="0.25">
      <c r="E172" s="108"/>
    </row>
    <row r="173" spans="5:5" x14ac:dyDescent="0.25">
      <c r="E173" s="108"/>
    </row>
    <row r="174" spans="5:5" x14ac:dyDescent="0.25">
      <c r="E174" s="108"/>
    </row>
    <row r="175" spans="5:5" x14ac:dyDescent="0.25">
      <c r="E175" s="108"/>
    </row>
    <row r="176" spans="5:5" x14ac:dyDescent="0.25">
      <c r="E176" s="108"/>
    </row>
    <row r="177" spans="5:5" x14ac:dyDescent="0.25">
      <c r="E177" s="108"/>
    </row>
    <row r="178" spans="5:5" x14ac:dyDescent="0.25">
      <c r="E178" s="108"/>
    </row>
    <row r="179" spans="5:5" x14ac:dyDescent="0.25">
      <c r="E179" s="108"/>
    </row>
    <row r="180" spans="5:5" x14ac:dyDescent="0.25">
      <c r="E180" s="108"/>
    </row>
    <row r="181" spans="5:5" x14ac:dyDescent="0.25">
      <c r="E181" s="108"/>
    </row>
    <row r="182" spans="5:5" x14ac:dyDescent="0.25">
      <c r="E182" s="108"/>
    </row>
    <row r="183" spans="5:5" x14ac:dyDescent="0.25">
      <c r="E183" s="108"/>
    </row>
    <row r="184" spans="5:5" x14ac:dyDescent="0.25">
      <c r="E184" s="108"/>
    </row>
    <row r="185" spans="5:5" x14ac:dyDescent="0.25">
      <c r="E185" s="108"/>
    </row>
    <row r="186" spans="5:5" x14ac:dyDescent="0.25">
      <c r="E186" s="108"/>
    </row>
    <row r="187" spans="5:5" x14ac:dyDescent="0.25">
      <c r="E187" s="108"/>
    </row>
    <row r="188" spans="5:5" x14ac:dyDescent="0.25">
      <c r="E188" s="108"/>
    </row>
    <row r="189" spans="5:5" x14ac:dyDescent="0.25">
      <c r="E189" s="108"/>
    </row>
    <row r="190" spans="5:5" x14ac:dyDescent="0.25">
      <c r="E190" s="108"/>
    </row>
    <row r="191" spans="5:5" x14ac:dyDescent="0.25">
      <c r="E191" s="108"/>
    </row>
    <row r="192" spans="5:5" x14ac:dyDescent="0.25">
      <c r="E192" s="108"/>
    </row>
    <row r="193" spans="5:5" x14ac:dyDescent="0.25">
      <c r="E193" s="108"/>
    </row>
    <row r="194" spans="5:5" x14ac:dyDescent="0.25">
      <c r="E194" s="108"/>
    </row>
    <row r="195" spans="5:5" x14ac:dyDescent="0.25">
      <c r="E195" s="108"/>
    </row>
    <row r="196" spans="5:5" x14ac:dyDescent="0.25">
      <c r="E196" s="108"/>
    </row>
    <row r="197" spans="5:5" x14ac:dyDescent="0.25">
      <c r="E197" s="108"/>
    </row>
    <row r="198" spans="5:5" x14ac:dyDescent="0.25">
      <c r="E198" s="108"/>
    </row>
    <row r="199" spans="5:5" x14ac:dyDescent="0.25">
      <c r="E199" s="108"/>
    </row>
    <row r="200" spans="5:5" x14ac:dyDescent="0.25">
      <c r="E200" s="108"/>
    </row>
    <row r="201" spans="5:5" x14ac:dyDescent="0.25">
      <c r="E201" s="108"/>
    </row>
    <row r="202" spans="5:5" x14ac:dyDescent="0.25">
      <c r="E202" s="108"/>
    </row>
    <row r="203" spans="5:5" x14ac:dyDescent="0.25">
      <c r="E203" s="108"/>
    </row>
    <row r="204" spans="5:5" x14ac:dyDescent="0.25">
      <c r="E204" s="108"/>
    </row>
    <row r="205" spans="5:5" x14ac:dyDescent="0.25">
      <c r="E205" s="108"/>
    </row>
    <row r="206" spans="5:5" x14ac:dyDescent="0.25">
      <c r="E206" s="108"/>
    </row>
    <row r="207" spans="5:5" x14ac:dyDescent="0.25">
      <c r="E207" s="108"/>
    </row>
    <row r="208" spans="5:5" x14ac:dyDescent="0.25">
      <c r="E208" s="108"/>
    </row>
    <row r="209" spans="5:5" x14ac:dyDescent="0.25">
      <c r="E209" s="108"/>
    </row>
    <row r="210" spans="5:5" x14ac:dyDescent="0.25">
      <c r="E210" s="108"/>
    </row>
    <row r="211" spans="5:5" x14ac:dyDescent="0.25">
      <c r="E211" s="108"/>
    </row>
    <row r="212" spans="5:5" x14ac:dyDescent="0.25">
      <c r="E212" s="108"/>
    </row>
    <row r="213" spans="5:5" x14ac:dyDescent="0.25">
      <c r="E213" s="108"/>
    </row>
    <row r="214" spans="5:5" x14ac:dyDescent="0.25">
      <c r="E214" s="108"/>
    </row>
    <row r="215" spans="5:5" x14ac:dyDescent="0.25">
      <c r="E215" s="108"/>
    </row>
    <row r="216" spans="5:5" x14ac:dyDescent="0.25">
      <c r="E216" s="108"/>
    </row>
    <row r="217" spans="5:5" x14ac:dyDescent="0.25">
      <c r="E217" s="108"/>
    </row>
    <row r="218" spans="5:5" x14ac:dyDescent="0.25">
      <c r="E218" s="108"/>
    </row>
    <row r="219" spans="5:5" x14ac:dyDescent="0.25">
      <c r="E219" s="108"/>
    </row>
    <row r="220" spans="5:5" x14ac:dyDescent="0.25">
      <c r="E220" s="108"/>
    </row>
    <row r="221" spans="5:5" x14ac:dyDescent="0.25">
      <c r="E221" s="108"/>
    </row>
    <row r="222" spans="5:5" x14ac:dyDescent="0.25">
      <c r="E222" s="108"/>
    </row>
    <row r="223" spans="5:5" x14ac:dyDescent="0.25">
      <c r="E223" s="108"/>
    </row>
    <row r="224" spans="5:5" x14ac:dyDescent="0.25">
      <c r="E224" s="108"/>
    </row>
    <row r="225" spans="5:5" x14ac:dyDescent="0.25">
      <c r="E225" s="108"/>
    </row>
    <row r="226" spans="5:5" x14ac:dyDescent="0.25">
      <c r="E226" s="108"/>
    </row>
    <row r="227" spans="5:5" x14ac:dyDescent="0.25">
      <c r="E227" s="108"/>
    </row>
    <row r="228" spans="5:5" x14ac:dyDescent="0.25">
      <c r="E228" s="108"/>
    </row>
    <row r="229" spans="5:5" x14ac:dyDescent="0.25">
      <c r="E229" s="108"/>
    </row>
    <row r="230" spans="5:5" x14ac:dyDescent="0.25">
      <c r="E230" s="108"/>
    </row>
    <row r="231" spans="5:5" x14ac:dyDescent="0.25">
      <c r="E231" s="108"/>
    </row>
    <row r="232" spans="5:5" x14ac:dyDescent="0.25">
      <c r="E232" s="108"/>
    </row>
    <row r="233" spans="5:5" x14ac:dyDescent="0.25">
      <c r="E233" s="108"/>
    </row>
    <row r="234" spans="5:5" x14ac:dyDescent="0.25">
      <c r="E234" s="108"/>
    </row>
    <row r="235" spans="5:5" x14ac:dyDescent="0.25">
      <c r="E235" s="108"/>
    </row>
    <row r="236" spans="5:5" x14ac:dyDescent="0.25">
      <c r="E236" s="108"/>
    </row>
    <row r="237" spans="5:5" x14ac:dyDescent="0.25">
      <c r="E237" s="108"/>
    </row>
    <row r="238" spans="5:5" x14ac:dyDescent="0.25">
      <c r="E238" s="108"/>
    </row>
    <row r="239" spans="5:5" x14ac:dyDescent="0.25">
      <c r="E239" s="108"/>
    </row>
    <row r="240" spans="5:5" x14ac:dyDescent="0.25">
      <c r="E240" s="108"/>
    </row>
    <row r="241" spans="5:5" x14ac:dyDescent="0.25">
      <c r="E241" s="108"/>
    </row>
    <row r="242" spans="5:5" x14ac:dyDescent="0.25">
      <c r="E242" s="108"/>
    </row>
    <row r="243" spans="5:5" x14ac:dyDescent="0.25">
      <c r="E243" s="108"/>
    </row>
    <row r="244" spans="5:5" x14ac:dyDescent="0.25">
      <c r="E244" s="108"/>
    </row>
    <row r="245" spans="5:5" x14ac:dyDescent="0.25">
      <c r="E245" s="108"/>
    </row>
    <row r="246" spans="5:5" x14ac:dyDescent="0.25">
      <c r="E246" s="108"/>
    </row>
    <row r="247" spans="5:5" x14ac:dyDescent="0.25">
      <c r="E247" s="108"/>
    </row>
    <row r="248" spans="5:5" x14ac:dyDescent="0.25">
      <c r="E248" s="108"/>
    </row>
    <row r="249" spans="5:5" x14ac:dyDescent="0.25">
      <c r="E249" s="108"/>
    </row>
    <row r="250" spans="5:5" x14ac:dyDescent="0.25">
      <c r="E250" s="108"/>
    </row>
    <row r="251" spans="5:5" x14ac:dyDescent="0.25">
      <c r="E251" s="108"/>
    </row>
    <row r="252" spans="5:5" x14ac:dyDescent="0.25">
      <c r="E252" s="108"/>
    </row>
    <row r="253" spans="5:5" x14ac:dyDescent="0.25">
      <c r="E253" s="108"/>
    </row>
    <row r="254" spans="5:5" x14ac:dyDescent="0.25">
      <c r="E254" s="108"/>
    </row>
    <row r="255" spans="5:5" x14ac:dyDescent="0.25">
      <c r="E255" s="108"/>
    </row>
    <row r="256" spans="5:5" x14ac:dyDescent="0.25">
      <c r="E256" s="108"/>
    </row>
    <row r="257" spans="5:5" x14ac:dyDescent="0.25">
      <c r="E257" s="108"/>
    </row>
    <row r="258" spans="5:5" x14ac:dyDescent="0.25">
      <c r="E258" s="108"/>
    </row>
    <row r="259" spans="5:5" x14ac:dyDescent="0.25">
      <c r="E259" s="108"/>
    </row>
    <row r="260" spans="5:5" x14ac:dyDescent="0.25">
      <c r="E260" s="108"/>
    </row>
    <row r="261" spans="5:5" x14ac:dyDescent="0.25">
      <c r="E261" s="108"/>
    </row>
    <row r="262" spans="5:5" x14ac:dyDescent="0.25">
      <c r="E262" s="108"/>
    </row>
    <row r="263" spans="5:5" x14ac:dyDescent="0.25">
      <c r="E263" s="108"/>
    </row>
    <row r="264" spans="5:5" x14ac:dyDescent="0.25">
      <c r="E264" s="108"/>
    </row>
    <row r="265" spans="5:5" x14ac:dyDescent="0.25">
      <c r="E265" s="108"/>
    </row>
    <row r="266" spans="5:5" x14ac:dyDescent="0.25">
      <c r="E266" s="108"/>
    </row>
    <row r="267" spans="5:5" x14ac:dyDescent="0.25">
      <c r="E267" s="108"/>
    </row>
    <row r="268" spans="5:5" x14ac:dyDescent="0.25">
      <c r="E268" s="108"/>
    </row>
    <row r="269" spans="5:5" x14ac:dyDescent="0.25">
      <c r="E269" s="108"/>
    </row>
    <row r="270" spans="5:5" x14ac:dyDescent="0.25">
      <c r="E270" s="108"/>
    </row>
    <row r="271" spans="5:5" x14ac:dyDescent="0.25">
      <c r="E271" s="108"/>
    </row>
    <row r="272" spans="5:5" x14ac:dyDescent="0.25">
      <c r="E272" s="108"/>
    </row>
    <row r="273" spans="5:5" x14ac:dyDescent="0.25">
      <c r="E273" s="108"/>
    </row>
    <row r="274" spans="5:5" x14ac:dyDescent="0.25">
      <c r="E274" s="108"/>
    </row>
    <row r="275" spans="5:5" x14ac:dyDescent="0.25">
      <c r="E275" s="108"/>
    </row>
    <row r="276" spans="5:5" x14ac:dyDescent="0.25">
      <c r="E276" s="108"/>
    </row>
    <row r="277" spans="5:5" x14ac:dyDescent="0.25">
      <c r="E277" s="108"/>
    </row>
    <row r="278" spans="5:5" x14ac:dyDescent="0.25">
      <c r="E278" s="108"/>
    </row>
    <row r="279" spans="5:5" x14ac:dyDescent="0.25">
      <c r="E279" s="108"/>
    </row>
    <row r="280" spans="5:5" x14ac:dyDescent="0.25">
      <c r="E280" s="108"/>
    </row>
    <row r="281" spans="5:5" x14ac:dyDescent="0.25">
      <c r="E281" s="108"/>
    </row>
    <row r="282" spans="5:5" x14ac:dyDescent="0.25">
      <c r="E282" s="108"/>
    </row>
    <row r="283" spans="5:5" x14ac:dyDescent="0.25">
      <c r="E283" s="108"/>
    </row>
    <row r="284" spans="5:5" x14ac:dyDescent="0.25">
      <c r="E284" s="108"/>
    </row>
    <row r="285" spans="5:5" x14ac:dyDescent="0.25">
      <c r="E285" s="108"/>
    </row>
    <row r="286" spans="5:5" x14ac:dyDescent="0.25">
      <c r="E286" s="108"/>
    </row>
    <row r="287" spans="5:5" x14ac:dyDescent="0.25">
      <c r="E287" s="108"/>
    </row>
    <row r="288" spans="5:5" x14ac:dyDescent="0.25">
      <c r="E288" s="108"/>
    </row>
    <row r="289" spans="5:5" x14ac:dyDescent="0.25">
      <c r="E289" s="108"/>
    </row>
    <row r="290" spans="5:5" x14ac:dyDescent="0.25">
      <c r="E290" s="108"/>
    </row>
    <row r="291" spans="5:5" x14ac:dyDescent="0.25">
      <c r="E291" s="108"/>
    </row>
    <row r="292" spans="5:5" x14ac:dyDescent="0.25">
      <c r="E292" s="108"/>
    </row>
    <row r="293" spans="5:5" x14ac:dyDescent="0.25">
      <c r="E293" s="108"/>
    </row>
    <row r="294" spans="5:5" x14ac:dyDescent="0.25">
      <c r="E294" s="108"/>
    </row>
    <row r="295" spans="5:5" x14ac:dyDescent="0.25">
      <c r="E295" s="108"/>
    </row>
    <row r="296" spans="5:5" x14ac:dyDescent="0.25">
      <c r="E296" s="108"/>
    </row>
    <row r="297" spans="5:5" x14ac:dyDescent="0.25">
      <c r="E297" s="108"/>
    </row>
    <row r="298" spans="5:5" x14ac:dyDescent="0.25">
      <c r="E298" s="108"/>
    </row>
    <row r="299" spans="5:5" x14ac:dyDescent="0.25">
      <c r="E299" s="108"/>
    </row>
    <row r="300" spans="5:5" x14ac:dyDescent="0.25">
      <c r="E300" s="108"/>
    </row>
    <row r="301" spans="5:5" x14ac:dyDescent="0.25">
      <c r="E301" s="108"/>
    </row>
    <row r="302" spans="5:5" x14ac:dyDescent="0.25">
      <c r="E302" s="108"/>
    </row>
    <row r="303" spans="5:5" x14ac:dyDescent="0.25">
      <c r="E303" s="108"/>
    </row>
    <row r="304" spans="5:5" x14ac:dyDescent="0.25">
      <c r="E304" s="108"/>
    </row>
    <row r="305" spans="5:5" x14ac:dyDescent="0.25">
      <c r="E305" s="108"/>
    </row>
    <row r="306" spans="5:5" x14ac:dyDescent="0.25">
      <c r="E306" s="108"/>
    </row>
    <row r="307" spans="5:5" x14ac:dyDescent="0.25">
      <c r="E307" s="108"/>
    </row>
    <row r="308" spans="5:5" x14ac:dyDescent="0.25">
      <c r="E308" s="108"/>
    </row>
    <row r="309" spans="5:5" x14ac:dyDescent="0.25">
      <c r="E309" s="108"/>
    </row>
    <row r="310" spans="5:5" x14ac:dyDescent="0.25">
      <c r="E310" s="108"/>
    </row>
    <row r="311" spans="5:5" x14ac:dyDescent="0.25">
      <c r="E311" s="108"/>
    </row>
    <row r="312" spans="5:5" x14ac:dyDescent="0.25">
      <c r="E312" s="108"/>
    </row>
    <row r="313" spans="5:5" x14ac:dyDescent="0.25">
      <c r="E313" s="108"/>
    </row>
    <row r="314" spans="5:5" x14ac:dyDescent="0.25">
      <c r="E314" s="108"/>
    </row>
    <row r="315" spans="5:5" x14ac:dyDescent="0.25">
      <c r="E315" s="108"/>
    </row>
    <row r="316" spans="5:5" x14ac:dyDescent="0.25">
      <c r="E316" s="108"/>
    </row>
    <row r="317" spans="5:5" x14ac:dyDescent="0.25">
      <c r="E317" s="108"/>
    </row>
    <row r="318" spans="5:5" x14ac:dyDescent="0.25">
      <c r="E318" s="108"/>
    </row>
    <row r="319" spans="5:5" x14ac:dyDescent="0.25">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22" sqref="A22"/>
    </sheetView>
  </sheetViews>
  <sheetFormatPr defaultRowHeight="13.2" x14ac:dyDescent="0.25"/>
  <cols>
    <col min="1" max="1" width="48.44140625" bestFit="1" customWidth="1"/>
    <col min="2" max="2" width="15.88671875" customWidth="1"/>
  </cols>
  <sheetData>
    <row r="1" spans="1:2" s="87" customFormat="1" ht="16.2" thickBot="1" x14ac:dyDescent="0.35">
      <c r="A1" s="94" t="s">
        <v>193</v>
      </c>
    </row>
    <row r="2" spans="1:2" x14ac:dyDescent="0.25">
      <c r="A2" t="s">
        <v>93</v>
      </c>
      <c r="B2">
        <f>Household_SSI</f>
        <v>0</v>
      </c>
    </row>
    <row r="3" spans="1:2" x14ac:dyDescent="0.25">
      <c r="A3" t="s">
        <v>94</v>
      </c>
      <c r="B3" t="str">
        <f>IF(Earned_Income=0,"y","n")</f>
        <v>y</v>
      </c>
    </row>
    <row r="4" spans="1:2" x14ac:dyDescent="0.25">
      <c r="A4" t="s">
        <v>95</v>
      </c>
      <c r="B4" t="str">
        <f>IF(HH_SIZE=1,"y","n")</f>
        <v>n</v>
      </c>
    </row>
    <row r="5" spans="1:2" s="90" customFormat="1" ht="25.5" customHeight="1" x14ac:dyDescent="0.25">
      <c r="A5" s="90" t="s">
        <v>96</v>
      </c>
      <c r="B5" s="91" t="str">
        <f>IF(AND(B2="y",B3="y",B4="y"),"Yes","No")</f>
        <v>No</v>
      </c>
    </row>
    <row r="6" spans="1:2" x14ac:dyDescent="0.25">
      <c r="A6" t="s">
        <v>98</v>
      </c>
      <c r="B6" s="2" t="e">
        <f>(IF((Unearned_Income-STEP3&lt;0),0,Unearned_Income-STEP3))</f>
        <v>#N/A</v>
      </c>
    </row>
    <row r="7" spans="1:2" x14ac:dyDescent="0.25">
      <c r="A7" t="s">
        <v>97</v>
      </c>
      <c r="B7" s="4" t="e">
        <f>B6/2</f>
        <v>#N/A</v>
      </c>
    </row>
    <row r="8" spans="1:2" x14ac:dyDescent="0.25">
      <c r="A8" s="92" t="s">
        <v>162</v>
      </c>
      <c r="B8" t="str">
        <f>IF(('SNAP calculation'!B70&gt;=453),"yes","no")</f>
        <v>no</v>
      </c>
    </row>
    <row r="9" spans="1:2" x14ac:dyDescent="0.25">
      <c r="A9" t="s">
        <v>105</v>
      </c>
      <c r="B9" s="2">
        <f>IF(B8="yes",453,223)</f>
        <v>223</v>
      </c>
    </row>
    <row r="10" spans="1:2" x14ac:dyDescent="0.25">
      <c r="A10" t="s">
        <v>101</v>
      </c>
      <c r="B10" s="2">
        <v>688</v>
      </c>
    </row>
    <row r="11" spans="1:2" x14ac:dyDescent="0.25">
      <c r="A11" t="s">
        <v>102</v>
      </c>
      <c r="B11" s="2">
        <f>SUM(B9:B10)</f>
        <v>911</v>
      </c>
    </row>
    <row r="12" spans="1:2" x14ac:dyDescent="0.25">
      <c r="A12" t="s">
        <v>103</v>
      </c>
      <c r="B12" s="2" t="e">
        <f>B11-B7</f>
        <v>#N/A</v>
      </c>
    </row>
    <row r="13" spans="1:2" x14ac:dyDescent="0.25">
      <c r="A13" t="s">
        <v>163</v>
      </c>
      <c r="B13" s="2" t="e">
        <f>B6-B12</f>
        <v>#N/A</v>
      </c>
    </row>
    <row r="14" spans="1:2" s="90" customFormat="1" ht="25.5" customHeight="1" x14ac:dyDescent="0.25">
      <c r="A14" s="95" t="s">
        <v>104</v>
      </c>
      <c r="B14" s="93" t="e">
        <f>IF(B13&gt;0,B13*netincome_percent,0)</f>
        <v>#N/A</v>
      </c>
    </row>
    <row r="15" spans="1:2" ht="25.5" customHeight="1" x14ac:dyDescent="0.25">
      <c r="A15" t="s">
        <v>100</v>
      </c>
      <c r="B15" s="4">
        <f>'SNAP numbers -inform calc'!B72</f>
        <v>250</v>
      </c>
    </row>
    <row r="16" spans="1:2" s="96" customFormat="1" ht="25.5" customHeight="1" thickBot="1" x14ac:dyDescent="0.35">
      <c r="A16" s="97" t="s">
        <v>99</v>
      </c>
      <c r="B16" s="141">
        <f>IF(B5="Yes",IF(B15-B14&gt;0,B15-B14,0),0)</f>
        <v>0</v>
      </c>
    </row>
    <row r="17" spans="1:1" ht="13.8" thickTop="1" x14ac:dyDescent="0.25"/>
    <row r="19" spans="1:1" x14ac:dyDescent="0.25">
      <c r="A19" t="s">
        <v>194</v>
      </c>
    </row>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7" workbookViewId="0">
      <selection activeCell="B44" sqref="B44"/>
    </sheetView>
  </sheetViews>
  <sheetFormatPr defaultColWidth="9.109375" defaultRowHeight="13.2" x14ac:dyDescent="0.25"/>
  <cols>
    <col min="1" max="1" width="51.88671875" style="44" bestFit="1" customWidth="1"/>
    <col min="2" max="2" width="16.88671875" style="54" customWidth="1"/>
    <col min="3" max="3" width="14" style="44" customWidth="1"/>
    <col min="4" max="16384" width="9.109375" style="44"/>
  </cols>
  <sheetData>
    <row r="1" spans="1:3" ht="14.4" thickTop="1" thickBot="1" x14ac:dyDescent="0.3">
      <c r="A1" s="264" t="s">
        <v>71</v>
      </c>
      <c r="B1" s="265"/>
      <c r="C1" s="266"/>
    </row>
    <row r="2" spans="1:3" ht="13.8" thickTop="1" x14ac:dyDescent="0.25"/>
    <row r="3" spans="1:3" x14ac:dyDescent="0.25">
      <c r="A3" s="271" t="str">
        <f>IF(Advocate="", "", CONCATENATE("Prepared by: ", Advocate))</f>
        <v/>
      </c>
      <c r="B3" s="271"/>
      <c r="C3" s="271"/>
    </row>
    <row r="4" spans="1:3" x14ac:dyDescent="0.25">
      <c r="A4" s="271" t="str">
        <f>IF(client_name="", "", CONCATENATE("Client: ", client_name))</f>
        <v/>
      </c>
      <c r="B4" s="271"/>
      <c r="C4" s="271"/>
    </row>
    <row r="5" spans="1:3" ht="38.25" customHeight="1" x14ac:dyDescent="0.25">
      <c r="A5" s="270" t="str">
        <f>IF(client_notes="", "", client_notes)</f>
        <v/>
      </c>
      <c r="B5" s="270"/>
      <c r="C5" s="270"/>
    </row>
    <row r="6" spans="1:3" x14ac:dyDescent="0.25">
      <c r="A6" s="51" t="s">
        <v>69</v>
      </c>
      <c r="B6" s="52">
        <f ca="1">TODAY()</f>
        <v>44585</v>
      </c>
      <c r="C6" s="53">
        <f ca="1">NOW()</f>
        <v>44585.584993865741</v>
      </c>
    </row>
    <row r="7" spans="1:3" ht="22.5" customHeight="1" x14ac:dyDescent="0.25">
      <c r="A7" s="263" t="s">
        <v>160</v>
      </c>
      <c r="B7" s="263"/>
      <c r="C7" s="263"/>
    </row>
    <row r="8" spans="1:3" ht="17.25" customHeight="1" x14ac:dyDescent="0.25">
      <c r="A8" s="45" t="s">
        <v>77</v>
      </c>
      <c r="B8" s="50">
        <f>HH_SIZE</f>
        <v>0</v>
      </c>
      <c r="C8" s="45"/>
    </row>
    <row r="9" spans="1:3" ht="17.25" customHeight="1" x14ac:dyDescent="0.25">
      <c r="A9" s="45"/>
      <c r="B9" s="50"/>
      <c r="C9" s="45"/>
    </row>
    <row r="10" spans="1:3" x14ac:dyDescent="0.25">
      <c r="A10" s="45" t="s">
        <v>142</v>
      </c>
      <c r="B10" s="46" t="e">
        <f>'SNAP calculation'!#REF!</f>
        <v>#REF!</v>
      </c>
      <c r="C10" s="269" t="s">
        <v>76</v>
      </c>
    </row>
    <row r="11" spans="1:3" x14ac:dyDescent="0.25">
      <c r="A11" s="45" t="s">
        <v>143</v>
      </c>
      <c r="B11" s="46" t="e">
        <f>'SNAP calculation'!B31</f>
        <v>#N/A</v>
      </c>
      <c r="C11" s="269"/>
    </row>
    <row r="12" spans="1:3" x14ac:dyDescent="0.25">
      <c r="A12" s="45" t="s">
        <v>144</v>
      </c>
      <c r="B12" s="46" t="e">
        <f>'SNAP calculation'!#REF!</f>
        <v>#REF!</v>
      </c>
      <c r="C12" s="269"/>
    </row>
    <row r="13" spans="1:3" x14ac:dyDescent="0.25">
      <c r="A13" s="45" t="s">
        <v>73</v>
      </c>
      <c r="B13" s="46" t="e">
        <f>'SNAP calculation'!B99</f>
        <v>#N/A</v>
      </c>
      <c r="C13" s="269"/>
    </row>
    <row r="14" spans="1:3" x14ac:dyDescent="0.25">
      <c r="A14" s="45" t="s">
        <v>74</v>
      </c>
      <c r="B14" s="46">
        <f>Unearned_Income</f>
        <v>0</v>
      </c>
      <c r="C14" s="269"/>
    </row>
    <row r="15" spans="1:3" x14ac:dyDescent="0.25">
      <c r="A15" s="45" t="s">
        <v>75</v>
      </c>
      <c r="B15" s="46">
        <f>Earned_Income</f>
        <v>0</v>
      </c>
      <c r="C15" s="269"/>
    </row>
    <row r="16" spans="1:3" x14ac:dyDescent="0.25">
      <c r="A16" s="45"/>
      <c r="B16" s="47"/>
      <c r="C16" s="45"/>
    </row>
    <row r="17" spans="1:3" x14ac:dyDescent="0.25">
      <c r="A17" s="45" t="s">
        <v>64</v>
      </c>
      <c r="B17" s="46">
        <f>SUM(B14:B15)</f>
        <v>0</v>
      </c>
      <c r="C17" s="46">
        <f>B17</f>
        <v>0</v>
      </c>
    </row>
    <row r="18" spans="1:3" x14ac:dyDescent="0.25">
      <c r="A18" s="45"/>
      <c r="B18" s="46"/>
      <c r="C18" s="46"/>
    </row>
    <row r="19" spans="1:3" x14ac:dyDescent="0.25">
      <c r="A19" s="48" t="s">
        <v>146</v>
      </c>
      <c r="B19" s="46"/>
      <c r="C19" s="46"/>
    </row>
    <row r="20" spans="1:3" x14ac:dyDescent="0.25">
      <c r="A20" s="49" t="s">
        <v>147</v>
      </c>
      <c r="B20" s="46">
        <f>'SNAP calculation'!B70</f>
        <v>0</v>
      </c>
      <c r="C20" s="46"/>
    </row>
    <row r="21" spans="1:3" x14ac:dyDescent="0.25">
      <c r="A21" s="49" t="s">
        <v>148</v>
      </c>
      <c r="B21" s="46">
        <f>'SNAP calculation'!B77</f>
        <v>0</v>
      </c>
      <c r="C21" s="46"/>
    </row>
    <row r="22" spans="1:3" x14ac:dyDescent="0.25">
      <c r="A22" s="49"/>
      <c r="B22" s="46"/>
      <c r="C22" s="46"/>
    </row>
    <row r="23" spans="1:3" x14ac:dyDescent="0.25">
      <c r="A23" s="48" t="s">
        <v>65</v>
      </c>
      <c r="B23" s="46"/>
      <c r="C23" s="45"/>
    </row>
    <row r="24" spans="1:3" x14ac:dyDescent="0.25">
      <c r="A24" s="49" t="s">
        <v>83</v>
      </c>
      <c r="B24" s="46" t="e">
        <f>STEP3</f>
        <v>#N/A</v>
      </c>
      <c r="C24" s="45"/>
    </row>
    <row r="25" spans="1:3" x14ac:dyDescent="0.25">
      <c r="A25" s="49" t="s">
        <v>60</v>
      </c>
      <c r="B25" s="46" t="e">
        <f>STEP7</f>
        <v>#N/A</v>
      </c>
      <c r="C25" s="45" t="s">
        <v>72</v>
      </c>
    </row>
    <row r="26" spans="1:3" x14ac:dyDescent="0.25">
      <c r="A26" s="49" t="s">
        <v>59</v>
      </c>
      <c r="B26" s="46" t="str">
        <f>STEP9</f>
        <v>$0.0</v>
      </c>
      <c r="C26" s="45"/>
    </row>
    <row r="27" spans="1:3" x14ac:dyDescent="0.25">
      <c r="A27" s="49" t="s">
        <v>84</v>
      </c>
      <c r="B27" s="46">
        <f>STEP4</f>
        <v>0</v>
      </c>
      <c r="C27" s="45"/>
    </row>
    <row r="28" spans="1:3" x14ac:dyDescent="0.25">
      <c r="A28" s="49" t="s">
        <v>66</v>
      </c>
      <c r="B28" s="46">
        <f>STEP6</f>
        <v>0</v>
      </c>
      <c r="C28" s="45"/>
    </row>
    <row r="29" spans="1:3" x14ac:dyDescent="0.25">
      <c r="A29" s="49" t="s">
        <v>85</v>
      </c>
      <c r="B29" s="46">
        <f>STEP5</f>
        <v>0</v>
      </c>
      <c r="C29" s="45"/>
    </row>
    <row r="30" spans="1:3" x14ac:dyDescent="0.25">
      <c r="A30" s="49" t="s">
        <v>87</v>
      </c>
      <c r="B30" s="46">
        <f>STEP8</f>
        <v>0</v>
      </c>
      <c r="C30" s="45"/>
    </row>
    <row r="31" spans="1:3" x14ac:dyDescent="0.25">
      <c r="A31" s="45"/>
      <c r="B31" s="47"/>
      <c r="C31" s="45"/>
    </row>
    <row r="32" spans="1:3" x14ac:dyDescent="0.25">
      <c r="A32" s="48" t="s">
        <v>67</v>
      </c>
      <c r="B32" s="46" t="e">
        <f>SUM(B24:B30)</f>
        <v>#N/A</v>
      </c>
      <c r="C32" s="46" t="e">
        <f>-B32</f>
        <v>#N/A</v>
      </c>
    </row>
    <row r="33" spans="1:3" x14ac:dyDescent="0.25">
      <c r="A33" s="45"/>
      <c r="B33" s="46"/>
      <c r="C33" s="45"/>
    </row>
    <row r="34" spans="1:3" x14ac:dyDescent="0.25">
      <c r="A34" s="45" t="s">
        <v>68</v>
      </c>
      <c r="B34" s="46"/>
      <c r="C34" s="45"/>
    </row>
    <row r="35" spans="1:3" ht="17.25" customHeight="1" x14ac:dyDescent="0.25">
      <c r="A35" s="80" t="s">
        <v>86</v>
      </c>
      <c r="B35" s="46" t="e">
        <f>STEP10</f>
        <v>#N/A</v>
      </c>
      <c r="C35" s="45"/>
    </row>
    <row r="36" spans="1:3" x14ac:dyDescent="0.25">
      <c r="A36" s="45"/>
      <c r="B36" s="46"/>
      <c r="C36" s="45"/>
    </row>
    <row r="37" spans="1:3" ht="25.5" customHeight="1" x14ac:dyDescent="0.25">
      <c r="A37" s="81" t="s">
        <v>158</v>
      </c>
      <c r="B37" s="82" t="e">
        <f>'SNAP calculation'!B109</f>
        <v>#N/A</v>
      </c>
      <c r="C37" s="45"/>
    </row>
    <row r="38" spans="1:3" ht="17.25" customHeight="1" thickBot="1" x14ac:dyDescent="0.3">
      <c r="A38" s="48" t="s">
        <v>78</v>
      </c>
      <c r="B38" s="82" t="e">
        <f>'SNAP calculation'!B110</f>
        <v>#N/A</v>
      </c>
      <c r="C38" s="45"/>
    </row>
    <row r="39" spans="1:3" ht="17.25" customHeight="1" thickTop="1" thickBot="1" x14ac:dyDescent="0.3">
      <c r="A39" s="45" t="s">
        <v>159</v>
      </c>
      <c r="B39" s="83" t="e">
        <f>'SNAP calculation'!B112</f>
        <v>#N/A</v>
      </c>
      <c r="C39" s="45"/>
    </row>
    <row r="40" spans="1:3" ht="56.25" customHeight="1" thickTop="1" x14ac:dyDescent="0.25">
      <c r="A40" s="268" t="s">
        <v>168</v>
      </c>
      <c r="B40" s="268"/>
      <c r="C40" s="268"/>
    </row>
    <row r="41" spans="1:3" ht="50.25" customHeight="1" x14ac:dyDescent="0.25">
      <c r="A41" s="267" t="s">
        <v>157</v>
      </c>
      <c r="B41" s="267"/>
      <c r="C41" s="267"/>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zoomScale="130" zoomScaleNormal="130" workbookViewId="0">
      <selection activeCell="C27" sqref="C27"/>
    </sheetView>
  </sheetViews>
  <sheetFormatPr defaultRowHeight="13.2" x14ac:dyDescent="0.25"/>
  <cols>
    <col min="1" max="1" width="30.44140625" bestFit="1" customWidth="1"/>
    <col min="2" max="2" width="30.6640625" style="2" customWidth="1"/>
    <col min="3" max="3" width="30.6640625" customWidth="1"/>
  </cols>
  <sheetData>
    <row r="1" spans="1:3" s="26" customFormat="1" ht="18.75" customHeight="1" thickTop="1" thickBot="1" x14ac:dyDescent="0.3">
      <c r="A1" s="275" t="s">
        <v>176</v>
      </c>
      <c r="B1" s="276"/>
      <c r="C1" s="276"/>
    </row>
    <row r="2" spans="1:3" s="26" customFormat="1" ht="13.8" thickTop="1" x14ac:dyDescent="0.25">
      <c r="A2" s="122"/>
      <c r="B2" s="123"/>
    </row>
    <row r="3" spans="1:3" ht="13.8" thickBot="1" x14ac:dyDescent="0.3">
      <c r="A3" s="273" t="s">
        <v>31</v>
      </c>
      <c r="B3" s="274"/>
      <c r="C3" s="274"/>
    </row>
    <row r="4" spans="1:3" x14ac:dyDescent="0.25">
      <c r="A4" s="115" t="s">
        <v>13</v>
      </c>
      <c r="B4" s="19">
        <v>3750</v>
      </c>
      <c r="C4" s="14"/>
    </row>
    <row r="5" spans="1:3" x14ac:dyDescent="0.25">
      <c r="A5" s="115" t="s">
        <v>18</v>
      </c>
      <c r="B5" s="19">
        <v>0</v>
      </c>
      <c r="C5" s="14"/>
    </row>
    <row r="6" spans="1:3" x14ac:dyDescent="0.25">
      <c r="A6" s="115" t="s">
        <v>14</v>
      </c>
      <c r="B6" s="19">
        <v>2500</v>
      </c>
      <c r="C6" s="14"/>
    </row>
    <row r="7" spans="1:3" x14ac:dyDescent="0.25">
      <c r="A7" s="115"/>
      <c r="B7" s="19"/>
      <c r="C7" s="14"/>
    </row>
    <row r="8" spans="1:3" ht="13.8" thickBot="1" x14ac:dyDescent="0.3">
      <c r="A8" s="273" t="s">
        <v>177</v>
      </c>
      <c r="B8" s="274"/>
      <c r="C8" s="274"/>
    </row>
    <row r="9" spans="1:3" s="1" customFormat="1" ht="13.8" thickBot="1" x14ac:dyDescent="0.3">
      <c r="A9" s="116" t="s">
        <v>182</v>
      </c>
      <c r="B9" s="117" t="s">
        <v>8</v>
      </c>
      <c r="C9" s="118"/>
    </row>
    <row r="10" spans="1:3" x14ac:dyDescent="0.25">
      <c r="A10" s="119">
        <v>1</v>
      </c>
      <c r="B10" s="120">
        <v>1396</v>
      </c>
      <c r="C10" s="14"/>
    </row>
    <row r="11" spans="1:3" x14ac:dyDescent="0.25">
      <c r="A11" s="119">
        <v>2</v>
      </c>
      <c r="B11" s="120">
        <v>1888</v>
      </c>
      <c r="C11" s="14"/>
    </row>
    <row r="12" spans="1:3" x14ac:dyDescent="0.25">
      <c r="A12" s="119">
        <v>3</v>
      </c>
      <c r="B12" s="120">
        <v>2379</v>
      </c>
      <c r="C12" s="14"/>
    </row>
    <row r="13" spans="1:3" x14ac:dyDescent="0.25">
      <c r="A13" s="119">
        <v>4</v>
      </c>
      <c r="B13" s="120">
        <v>2871</v>
      </c>
      <c r="C13" s="14"/>
    </row>
    <row r="14" spans="1:3" x14ac:dyDescent="0.25">
      <c r="A14" s="104">
        <v>5</v>
      </c>
      <c r="B14" s="120">
        <v>3363</v>
      </c>
      <c r="C14" s="14"/>
    </row>
    <row r="15" spans="1:3" x14ac:dyDescent="0.25">
      <c r="A15" s="104">
        <v>6</v>
      </c>
      <c r="B15" s="120">
        <v>3855</v>
      </c>
      <c r="C15" s="14"/>
    </row>
    <row r="16" spans="1:3" x14ac:dyDescent="0.25">
      <c r="A16" s="104">
        <v>7</v>
      </c>
      <c r="B16" s="120">
        <v>4347</v>
      </c>
      <c r="C16" s="14"/>
    </row>
    <row r="17" spans="1:3" x14ac:dyDescent="0.25">
      <c r="A17" s="104">
        <v>8</v>
      </c>
      <c r="B17" s="120">
        <v>4839</v>
      </c>
      <c r="C17" s="14"/>
    </row>
    <row r="18" spans="1:3" x14ac:dyDescent="0.25">
      <c r="A18" s="121" t="s">
        <v>9</v>
      </c>
      <c r="B18" s="120">
        <v>492</v>
      </c>
      <c r="C18" s="14" t="s">
        <v>10</v>
      </c>
    </row>
    <row r="19" spans="1:3" x14ac:dyDescent="0.25">
      <c r="A19" s="3"/>
      <c r="B19" s="7"/>
    </row>
    <row r="20" spans="1:3" ht="13.8" thickBot="1" x14ac:dyDescent="0.3">
      <c r="A20" s="272" t="s">
        <v>156</v>
      </c>
      <c r="B20" s="277"/>
      <c r="C20" s="277"/>
    </row>
    <row r="21" spans="1:3" s="1" customFormat="1" ht="13.8" thickBot="1" x14ac:dyDescent="0.3">
      <c r="A21" s="12" t="s">
        <v>182</v>
      </c>
      <c r="B21" s="13" t="s">
        <v>58</v>
      </c>
      <c r="C21" s="13"/>
    </row>
    <row r="22" spans="1:3" x14ac:dyDescent="0.25">
      <c r="A22" s="9">
        <v>1</v>
      </c>
      <c r="B22" s="7">
        <v>2265</v>
      </c>
      <c r="C22" s="4"/>
    </row>
    <row r="23" spans="1:3" x14ac:dyDescent="0.25">
      <c r="A23" s="9">
        <v>2</v>
      </c>
      <c r="B23" s="7">
        <v>3052</v>
      </c>
    </row>
    <row r="24" spans="1:3" x14ac:dyDescent="0.25">
      <c r="A24" s="9">
        <v>3</v>
      </c>
      <c r="B24" s="7">
        <v>3839</v>
      </c>
    </row>
    <row r="25" spans="1:3" x14ac:dyDescent="0.25">
      <c r="A25" s="9">
        <v>4</v>
      </c>
      <c r="B25" s="7">
        <v>4625</v>
      </c>
    </row>
    <row r="26" spans="1:3" x14ac:dyDescent="0.25">
      <c r="A26" s="8">
        <v>5</v>
      </c>
      <c r="B26" s="7">
        <v>5412</v>
      </c>
    </row>
    <row r="27" spans="1:3" x14ac:dyDescent="0.25">
      <c r="A27" s="8">
        <v>6</v>
      </c>
      <c r="B27" s="7">
        <v>6199</v>
      </c>
    </row>
    <row r="28" spans="1:3" x14ac:dyDescent="0.25">
      <c r="A28" s="8">
        <v>7</v>
      </c>
      <c r="B28" s="7">
        <v>6985</v>
      </c>
    </row>
    <row r="29" spans="1:3" x14ac:dyDescent="0.25">
      <c r="A29" s="8">
        <v>8</v>
      </c>
      <c r="B29" s="7">
        <v>7772</v>
      </c>
    </row>
    <row r="30" spans="1:3" x14ac:dyDescent="0.25">
      <c r="A30" s="3" t="s">
        <v>9</v>
      </c>
      <c r="B30" s="7">
        <v>787</v>
      </c>
      <c r="C30" t="s">
        <v>10</v>
      </c>
    </row>
    <row r="32" spans="1:3" ht="13.8" thickBot="1" x14ac:dyDescent="0.3">
      <c r="A32" s="272" t="s">
        <v>22</v>
      </c>
      <c r="B32" s="272"/>
      <c r="C32" s="272"/>
    </row>
    <row r="33" spans="1:3" ht="13.8" thickBot="1" x14ac:dyDescent="0.3">
      <c r="A33" s="12" t="s">
        <v>182</v>
      </c>
      <c r="B33" s="13" t="s">
        <v>11</v>
      </c>
      <c r="C33" s="113"/>
    </row>
    <row r="34" spans="1:3" x14ac:dyDescent="0.25">
      <c r="A34" s="9">
        <v>1</v>
      </c>
      <c r="B34" s="7">
        <v>177</v>
      </c>
    </row>
    <row r="35" spans="1:3" x14ac:dyDescent="0.25">
      <c r="A35" s="9">
        <v>2</v>
      </c>
      <c r="B35" s="7">
        <v>177</v>
      </c>
    </row>
    <row r="36" spans="1:3" x14ac:dyDescent="0.25">
      <c r="A36" s="9">
        <v>3</v>
      </c>
      <c r="B36" s="7">
        <v>177</v>
      </c>
    </row>
    <row r="37" spans="1:3" x14ac:dyDescent="0.25">
      <c r="A37" s="9">
        <v>4</v>
      </c>
      <c r="B37" s="7">
        <v>184</v>
      </c>
    </row>
    <row r="38" spans="1:3" x14ac:dyDescent="0.25">
      <c r="A38" s="8">
        <v>5</v>
      </c>
      <c r="B38" s="7">
        <v>215</v>
      </c>
    </row>
    <row r="39" spans="1:3" x14ac:dyDescent="0.25">
      <c r="A39" s="16" t="s">
        <v>21</v>
      </c>
      <c r="B39" s="7">
        <v>246</v>
      </c>
    </row>
    <row r="40" spans="1:3" x14ac:dyDescent="0.25">
      <c r="A40" s="8"/>
      <c r="B40" s="7"/>
    </row>
    <row r="41" spans="1:3" ht="13.8" thickBot="1" x14ac:dyDescent="0.3">
      <c r="A41" s="272" t="s">
        <v>25</v>
      </c>
      <c r="B41" s="277"/>
      <c r="C41" s="277"/>
    </row>
    <row r="42" spans="1:3" x14ac:dyDescent="0.25">
      <c r="A42" t="s">
        <v>24</v>
      </c>
      <c r="B42" s="17">
        <v>0.2</v>
      </c>
    </row>
    <row r="44" spans="1:3" ht="13.8" thickBot="1" x14ac:dyDescent="0.3">
      <c r="A44" s="272" t="s">
        <v>52</v>
      </c>
      <c r="B44" s="277"/>
      <c r="C44" s="277"/>
    </row>
    <row r="45" spans="1:3" x14ac:dyDescent="0.25">
      <c r="A45" t="s">
        <v>12</v>
      </c>
      <c r="B45" s="2">
        <v>35</v>
      </c>
    </row>
    <row r="47" spans="1:3" ht="13.8" thickBot="1" x14ac:dyDescent="0.3">
      <c r="A47" s="272" t="s">
        <v>80</v>
      </c>
      <c r="B47" s="272"/>
      <c r="C47" s="272"/>
    </row>
    <row r="48" spans="1:3" s="11" customFormat="1" x14ac:dyDescent="0.25">
      <c r="A48" s="11" t="s">
        <v>4</v>
      </c>
      <c r="B48" s="43">
        <v>688</v>
      </c>
      <c r="C48" s="43"/>
    </row>
    <row r="49" spans="1:3" s="11" customFormat="1" x14ac:dyDescent="0.25">
      <c r="A49" s="11" t="s">
        <v>5</v>
      </c>
      <c r="B49" s="43">
        <v>421</v>
      </c>
      <c r="C49" s="43"/>
    </row>
    <row r="50" spans="1:3" s="11" customFormat="1" x14ac:dyDescent="0.25">
      <c r="A50" s="11" t="s">
        <v>17</v>
      </c>
      <c r="B50" s="43">
        <v>0</v>
      </c>
      <c r="C50" s="43"/>
    </row>
    <row r="51" spans="1:3" s="11" customFormat="1" x14ac:dyDescent="0.25">
      <c r="A51" s="11" t="s">
        <v>63</v>
      </c>
      <c r="B51" s="43">
        <v>48</v>
      </c>
      <c r="C51" s="43"/>
    </row>
    <row r="52" spans="1:3" x14ac:dyDescent="0.25">
      <c r="B52" s="19"/>
    </row>
    <row r="53" spans="1:3" ht="13.8" thickBot="1" x14ac:dyDescent="0.3">
      <c r="A53" s="277" t="s">
        <v>15</v>
      </c>
      <c r="B53" s="277"/>
      <c r="C53" s="277"/>
    </row>
    <row r="54" spans="1:3" ht="12.75" customHeight="1" x14ac:dyDescent="0.25">
      <c r="A54" t="s">
        <v>129</v>
      </c>
      <c r="B54" s="2">
        <v>597</v>
      </c>
      <c r="C54" s="18" t="s">
        <v>20</v>
      </c>
    </row>
    <row r="55" spans="1:3" x14ac:dyDescent="0.25">
      <c r="A55" t="s">
        <v>16</v>
      </c>
      <c r="B55" s="2">
        <v>160</v>
      </c>
      <c r="C55" s="10" t="s">
        <v>81</v>
      </c>
    </row>
    <row r="56" spans="1:3" s="14" customFormat="1" x14ac:dyDescent="0.25">
      <c r="A56" s="14" t="s">
        <v>32</v>
      </c>
      <c r="B56" s="19"/>
      <c r="C56" s="14" t="s">
        <v>82</v>
      </c>
    </row>
    <row r="57" spans="1:3" s="14" customFormat="1" x14ac:dyDescent="0.25">
      <c r="B57" s="19"/>
    </row>
    <row r="58" spans="1:3" ht="13.8" thickBot="1" x14ac:dyDescent="0.3">
      <c r="A58" s="272" t="s">
        <v>180</v>
      </c>
      <c r="B58" s="277"/>
      <c r="C58" s="277"/>
    </row>
    <row r="59" spans="1:3" s="14" customFormat="1" x14ac:dyDescent="0.25">
      <c r="A59" s="14">
        <v>1</v>
      </c>
      <c r="B59" s="15">
        <v>1074</v>
      </c>
    </row>
    <row r="60" spans="1:3" s="14" customFormat="1" x14ac:dyDescent="0.25">
      <c r="A60" s="14">
        <v>2</v>
      </c>
      <c r="B60" s="15">
        <v>1452</v>
      </c>
    </row>
    <row r="61" spans="1:3" x14ac:dyDescent="0.25">
      <c r="A61">
        <v>3</v>
      </c>
      <c r="B61" s="4">
        <v>1830</v>
      </c>
    </row>
    <row r="62" spans="1:3" x14ac:dyDescent="0.25">
      <c r="A62">
        <v>4</v>
      </c>
      <c r="B62" s="4">
        <v>2209</v>
      </c>
    </row>
    <row r="63" spans="1:3" x14ac:dyDescent="0.25">
      <c r="A63">
        <v>5</v>
      </c>
      <c r="B63" s="4">
        <v>2587</v>
      </c>
    </row>
    <row r="64" spans="1:3" x14ac:dyDescent="0.25">
      <c r="A64">
        <v>6</v>
      </c>
      <c r="B64" s="4">
        <v>2965</v>
      </c>
    </row>
    <row r="65" spans="1:3" x14ac:dyDescent="0.25">
      <c r="A65">
        <v>7</v>
      </c>
      <c r="B65" s="4">
        <v>3344</v>
      </c>
    </row>
    <row r="66" spans="1:3" x14ac:dyDescent="0.25">
      <c r="A66">
        <v>8</v>
      </c>
      <c r="B66" s="4">
        <v>3722</v>
      </c>
    </row>
    <row r="67" spans="1:3" x14ac:dyDescent="0.25">
      <c r="A67" s="3" t="s">
        <v>6</v>
      </c>
      <c r="B67" s="4">
        <v>379</v>
      </c>
      <c r="C67" s="278" t="s">
        <v>178</v>
      </c>
    </row>
    <row r="68" spans="1:3" x14ac:dyDescent="0.25">
      <c r="C68" s="279"/>
    </row>
    <row r="69" spans="1:3" x14ac:dyDescent="0.25">
      <c r="C69" s="279"/>
    </row>
    <row r="70" spans="1:3" x14ac:dyDescent="0.25">
      <c r="C70" s="10"/>
    </row>
    <row r="71" spans="1:3" ht="13.8" thickBot="1" x14ac:dyDescent="0.3">
      <c r="A71" s="272" t="s">
        <v>179</v>
      </c>
      <c r="B71" s="277"/>
      <c r="C71" s="277"/>
    </row>
    <row r="72" spans="1:3" x14ac:dyDescent="0.25">
      <c r="A72" s="6">
        <v>1</v>
      </c>
      <c r="B72" s="5">
        <v>250</v>
      </c>
      <c r="C72" s="20"/>
    </row>
    <row r="73" spans="1:3" x14ac:dyDescent="0.25">
      <c r="A73" s="6">
        <v>2</v>
      </c>
      <c r="B73" s="5">
        <v>459</v>
      </c>
    </row>
    <row r="74" spans="1:3" x14ac:dyDescent="0.25">
      <c r="A74" s="6">
        <v>3</v>
      </c>
      <c r="B74" s="5">
        <v>658</v>
      </c>
    </row>
    <row r="75" spans="1:3" x14ac:dyDescent="0.25">
      <c r="A75" s="6">
        <v>4</v>
      </c>
      <c r="B75" s="5">
        <v>835</v>
      </c>
    </row>
    <row r="76" spans="1:3" x14ac:dyDescent="0.25">
      <c r="A76" s="6">
        <v>5</v>
      </c>
      <c r="B76" s="5">
        <v>992</v>
      </c>
    </row>
    <row r="77" spans="1:3" x14ac:dyDescent="0.25">
      <c r="A77" s="6">
        <v>6</v>
      </c>
      <c r="B77" s="5">
        <v>1190</v>
      </c>
    </row>
    <row r="78" spans="1:3" x14ac:dyDescent="0.25">
      <c r="A78" s="6">
        <v>7</v>
      </c>
      <c r="B78" s="5">
        <v>1316</v>
      </c>
    </row>
    <row r="79" spans="1:3" x14ac:dyDescent="0.25">
      <c r="A79" s="6">
        <v>8</v>
      </c>
      <c r="B79" s="5">
        <v>1504</v>
      </c>
    </row>
    <row r="80" spans="1:3" x14ac:dyDescent="0.25">
      <c r="A80" s="3" t="s">
        <v>6</v>
      </c>
      <c r="B80" s="5">
        <v>188</v>
      </c>
    </row>
    <row r="82" spans="1:3" s="110" customFormat="1" ht="13.8" thickBot="1" x14ac:dyDescent="0.3">
      <c r="A82" s="111" t="s">
        <v>88</v>
      </c>
      <c r="B82" s="112"/>
      <c r="C82" s="112"/>
    </row>
    <row r="83" spans="1:3" x14ac:dyDescent="0.25">
      <c r="B83" s="77">
        <v>0.3</v>
      </c>
    </row>
    <row r="85" spans="1:3" s="110" customFormat="1" ht="13.8" thickBot="1" x14ac:dyDescent="0.3">
      <c r="A85" s="111" t="s">
        <v>181</v>
      </c>
      <c r="B85" s="112"/>
      <c r="C85" s="112"/>
    </row>
    <row r="86" spans="1:3" x14ac:dyDescent="0.25">
      <c r="A86" t="s">
        <v>89</v>
      </c>
      <c r="B86" s="89">
        <v>2</v>
      </c>
      <c r="C86" t="s">
        <v>90</v>
      </c>
    </row>
    <row r="87" spans="1:3" x14ac:dyDescent="0.25">
      <c r="A87" t="s">
        <v>91</v>
      </c>
      <c r="B87" s="2">
        <v>20</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2022-01-24T19:02:40Z</dcterms:modified>
</cp:coreProperties>
</file>