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Worksheet!$C$49969</definedName>
    <definedName name="_C70003">Worksheet!$C$64972</definedName>
    <definedName name="_C75000">Worksheet!$C$49971</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Worksheet!$B$38</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Worksheet!$B$24</definedName>
    <definedName name="earned_income_deduction">Ref_Tables!$B$42</definedName>
    <definedName name="Elderly_Disabled">Worksheet!$B$18</definedName>
    <definedName name="HH_SIZE">Worksheet!$B$33</definedName>
    <definedName name="homeless_deduct">Ref_Tables!$B$55</definedName>
    <definedName name="Household_child">Worksheet!$B$15</definedName>
    <definedName name="Household_Pregnant">Worksheet!$B$16</definedName>
    <definedName name="Household_SSI">Worksheet!$B$17</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Worksheet!$B$66</definedName>
    <definedName name="_xlnm.Print_Area" localSheetId="2">Printable!$A$3:$C$41</definedName>
    <definedName name="_xlnm.Print_Area" localSheetId="0">Worksheet!$A$1:$D$123</definedName>
    <definedName name="shelter_cap">Ref_Tables!$B$54</definedName>
    <definedName name="ShelterDeductionLink">Worksheet!#REF!</definedName>
    <definedName name="standard_deduction">Ref_Tables!#REF!</definedName>
    <definedName name="stddeduct_6over">Ref_Tables!$B$39</definedName>
    <definedName name="STEP10">Worksheet!$B$104</definedName>
    <definedName name="STEP11">Worksheet!$B$112</definedName>
    <definedName name="STEP2">Worksheet!#REF!</definedName>
    <definedName name="STEP3">Worksheet!$B$46</definedName>
    <definedName name="STEP4">Worksheet!$B$48</definedName>
    <definedName name="STEP5">Worksheet!$B$52</definedName>
    <definedName name="STEP6">Worksheet!$B$60</definedName>
    <definedName name="STEP7">Worksheet!$B$89</definedName>
    <definedName name="STEP8">Worksheet!$B$64</definedName>
    <definedName name="STEP9">Worksheet!$B$92</definedName>
    <definedName name="Total_Income">Worksheet!$B$31</definedName>
    <definedName name="Unearned_Income">Worksheet!$B$28</definedName>
    <definedName name="UTILITY">Ref_Tables!#REF!</definedName>
  </definedNames>
  <calcPr calcId="145621"/>
</workbook>
</file>

<file path=xl/calcChain.xml><?xml version="1.0" encoding="utf-8"?>
<calcChain xmlns="http://schemas.openxmlformats.org/spreadsheetml/2006/main">
  <c r="B88" i="1" l="1"/>
  <c r="A50" i="1"/>
  <c r="B91" i="1"/>
  <c r="B92" i="1"/>
  <c r="A91" i="1"/>
  <c r="B102" i="1"/>
  <c r="B51" i="1"/>
  <c r="B52" i="1"/>
  <c r="C26" i="1"/>
  <c r="C27" i="1"/>
  <c r="B28" i="1"/>
  <c r="C22" i="1"/>
  <c r="C23" i="1"/>
  <c r="B24" i="1"/>
  <c r="B48" i="1" s="1"/>
  <c r="B46" i="1"/>
  <c r="B98" i="1" s="1"/>
  <c r="B60" i="1"/>
  <c r="B63" i="1"/>
  <c r="B64" i="1"/>
  <c r="B30" i="3" s="1"/>
  <c r="B76" i="1"/>
  <c r="B82" i="1"/>
  <c r="B83" i="1" s="1"/>
  <c r="B21" i="3" s="1"/>
  <c r="C51" i="1"/>
  <c r="A81" i="1"/>
  <c r="B8" i="4"/>
  <c r="C30" i="1"/>
  <c r="B36" i="1"/>
  <c r="B11" i="3" s="1"/>
  <c r="B37" i="1"/>
  <c r="B20" i="3"/>
  <c r="B12" i="3"/>
  <c r="B35" i="1"/>
  <c r="B10" i="3" s="1"/>
  <c r="J43" i="1"/>
  <c r="J42" i="1"/>
  <c r="J44" i="1" s="1"/>
  <c r="J41" i="1"/>
  <c r="J17" i="1"/>
  <c r="J16" i="1"/>
  <c r="J18" i="1" s="1"/>
  <c r="J15" i="1"/>
  <c r="B99" i="1"/>
  <c r="B100" i="1"/>
  <c r="B101" i="1"/>
  <c r="B115" i="1"/>
  <c r="B37" i="3" s="1"/>
  <c r="A70" i="1"/>
  <c r="B9" i="4"/>
  <c r="B11" i="4" s="1"/>
  <c r="B2" i="4"/>
  <c r="B5" i="4" s="1"/>
  <c r="B16" i="4" s="1"/>
  <c r="B121" i="1" s="1"/>
  <c r="B3" i="4"/>
  <c r="B4" i="4"/>
  <c r="B15" i="4"/>
  <c r="D22" i="1"/>
  <c r="D23" i="1"/>
  <c r="D26" i="1"/>
  <c r="D27" i="1"/>
  <c r="A111" i="1"/>
  <c r="A4" i="3"/>
  <c r="A3" i="3"/>
  <c r="A5" i="3"/>
  <c r="C6" i="3"/>
  <c r="B6" i="3"/>
  <c r="B8" i="3"/>
  <c r="B28" i="3"/>
  <c r="B29" i="3"/>
  <c r="B15" i="3"/>
  <c r="B14" i="3"/>
  <c r="B17" i="3" s="1"/>
  <c r="C17" i="3" s="1"/>
  <c r="B26" i="3"/>
  <c r="B84" i="1" l="1"/>
  <c r="B6" i="4"/>
  <c r="B7" i="4" s="1"/>
  <c r="B12" i="4" s="1"/>
  <c r="B96" i="1"/>
  <c r="B27" i="3"/>
  <c r="B97" i="1"/>
  <c r="B24" i="3"/>
  <c r="B32" i="3" s="1"/>
  <c r="C32" i="3" s="1"/>
  <c r="B95" i="1"/>
  <c r="B104" i="1" s="1"/>
  <c r="B31" i="1"/>
  <c r="B66" i="1"/>
  <c r="B86" i="1" s="1"/>
  <c r="B87" i="1" s="1"/>
  <c r="B89" i="1" s="1"/>
  <c r="B13" i="4" l="1"/>
  <c r="B14" i="4" s="1"/>
  <c r="J32" i="1"/>
  <c r="J35" i="1" s="1"/>
  <c r="B39" i="1"/>
  <c r="B35" i="3"/>
  <c r="B111" i="1"/>
  <c r="B112" i="1" s="1"/>
  <c r="B116" i="1" s="1"/>
  <c r="B38" i="3" s="1"/>
  <c r="B103" i="1"/>
  <c r="B25" i="3"/>
  <c r="B38" i="1"/>
  <c r="B41" i="1" l="1"/>
  <c r="J47" i="1"/>
  <c r="J34" i="1"/>
  <c r="B105" i="1"/>
  <c r="C41" i="1" l="1"/>
  <c r="B13" i="3"/>
  <c r="B107" i="1"/>
  <c r="C107" i="1" s="1"/>
  <c r="B118" i="1" l="1"/>
  <c r="B39" i="3" s="1"/>
</calcChain>
</file>

<file path=xl/sharedStrings.xml><?xml version="1.0" encoding="utf-8"?>
<sst xmlns="http://schemas.openxmlformats.org/spreadsheetml/2006/main" count="219" uniqueCount="201">
  <si>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</si>
  <si>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</si>
  <si>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</si>
  <si>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</si>
  <si>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</si>
  <si>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</si>
  <si>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</si>
  <si>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</si>
  <si>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</si>
  <si>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</si>
  <si>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</si>
  <si>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</si>
  <si>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</si>
  <si>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</si>
  <si>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</si>
  <si>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</si>
  <si>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</si>
  <si>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</si>
  <si>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</si>
  <si>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</si>
  <si>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</si>
  <si>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</si>
  <si>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</si>
  <si>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maximum allowable monthly net income standards (§364.970; see also §364.550)</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</si>
  <si>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</si>
  <si>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</si>
  <si>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</si>
  <si>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</si>
  <si>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</si>
  <si>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</si>
  <si>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</si>
  <si>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</si>
  <si>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</si>
  <si>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</si>
  <si>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</si>
  <si>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</si>
  <si>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</si>
  <si>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don't apply to households on SSI, children &lt; 18, or pregnant; instead, 200% poverty level</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</si>
  <si>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</si>
  <si>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</si>
  <si>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</si>
  <si>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</si>
  <si>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</si>
  <si>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</si>
  <si>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</si>
  <si>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</si>
  <si>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</si>
  <si>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</si>
  <si>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</si>
  <si>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</si>
  <si>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</si>
  <si>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</si>
  <si>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</si>
  <si>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</si>
  <si>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</si>
  <si>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</si>
  <si>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</si>
  <si>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</si>
  <si>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</si>
  <si>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Does the household include a </t>
    </r>
    <r>
      <rPr>
        <b/>
        <sz val="10"/>
        <rFont val="Arial"/>
        <family val="2"/>
      </rPr>
      <t>child under the age of 19</t>
    </r>
    <r>
      <rPr>
        <sz val="10"/>
        <rFont val="Arial"/>
        <family val="2"/>
      </rPr>
      <t>?</t>
    </r>
  </si>
  <si>
    <t>Does the household pay for electricity for non-heating purposes?</t>
  </si>
  <si>
    <r>
      <t xml:space="preserve">Legally obligated </t>
    </r>
    <r>
      <rPr>
        <b/>
        <sz val="10"/>
        <rFont val="Arial"/>
        <family val="2"/>
      </rPr>
      <t>child support</t>
    </r>
    <r>
      <rPr>
        <sz val="10"/>
        <rFont val="Arial"/>
      </rPr>
      <t xml:space="preserve"> paid out by household</t>
    </r>
  </si>
  <si>
    <t>Allowable Homeless Deduction</t>
  </si>
  <si>
    <t>Click for DTA regulations</t>
  </si>
  <si>
    <t>Max. Total Net Monthly Income for Household Size</t>
  </si>
  <si>
    <t>§364.550, §365.180</t>
  </si>
  <si>
    <t>§365.180</t>
  </si>
  <si>
    <t>§364.600</t>
  </si>
  <si>
    <r>
      <t xml:space="preserve">Are </t>
    </r>
    <r>
      <rPr>
        <b/>
        <sz val="10"/>
        <rFont val="Arial"/>
        <family val="2"/>
      </rPr>
      <t>all</t>
    </r>
    <r>
      <rPr>
        <sz val="10"/>
        <rFont val="Arial"/>
        <family val="2"/>
      </rPr>
      <t xml:space="preserve"> members of the household </t>
    </r>
    <r>
      <rPr>
        <b/>
        <sz val="10"/>
        <rFont val="Arial"/>
        <family val="2"/>
      </rPr>
      <t>pregnant</t>
    </r>
    <r>
      <rPr>
        <sz val="10"/>
        <rFont val="Arial"/>
        <family val="2"/>
      </rPr>
      <t>?</t>
    </r>
  </si>
  <si>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</si>
  <si>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</si>
  <si>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</si>
  <si>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</si>
  <si>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</si>
  <si>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</si>
  <si>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</si>
  <si>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</si>
  <si>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Does the household pay for heating or cooling (e.g. a/c)?</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</si>
  <si>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</si>
  <si>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</si>
  <si>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</si>
  <si>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</si>
  <si>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</si>
  <si>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</si>
  <si>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</si>
  <si>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</si>
  <si>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rPr>
      <t xml:space="preserve"> or press </t>
    </r>
    <r>
      <rPr>
        <b/>
        <sz val="10"/>
        <rFont val="Arial"/>
        <family val="2"/>
      </rPr>
      <t>Control-P</t>
    </r>
    <r>
      <rPr>
        <sz val="10"/>
        <rFont val="Arial"/>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</si>
  <si>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</si>
  <si>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</si>
  <si>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</si>
  <si>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</si>
  <si>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</si>
  <si>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</si>
  <si>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</si>
  <si>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</si>
  <si>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</si>
  <si>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</si>
  <si>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</si>
  <si>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</si>
  <si>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</si>
  <si>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</si>
  <si>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</si>
  <si>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</si>
  <si>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</si>
  <si>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</si>
  <si>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</si>
  <si>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</si>
  <si>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</si>
  <si>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</si>
  <si>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rPr>
      <t xml:space="preserve"> Income (only enter </t>
    </r>
    <r>
      <rPr>
        <b/>
        <sz val="10"/>
        <color indexed="10"/>
        <rFont val="Arial"/>
        <family val="2"/>
      </rPr>
      <t>ONCE</t>
    </r>
    <r>
      <rPr>
        <sz val="10"/>
        <rFont val="Arial"/>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</si>
  <si>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</si>
  <si>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</si>
  <si>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</si>
  <si>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</si>
  <si>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</si>
  <si>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</si>
  <si>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</si>
  <si>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</si>
  <si>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</si>
  <si>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</si>
  <si>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</si>
  <si>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</si>
  <si>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(g) Adjusted Income (a)-(f)</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</si>
  <si>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</si>
  <si>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</si>
  <si>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</si>
  <si>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</si>
  <si>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</si>
  <si>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</si>
  <si>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</si>
  <si>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</si>
  <si>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</si>
  <si>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</si>
  <si>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</si>
  <si>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</si>
  <si>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</si>
  <si>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</si>
  <si>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</si>
  <si>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</si>
  <si>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</si>
  <si>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</si>
  <si>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</si>
  <si>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</si>
  <si>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</si>
  <si>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</si>
  <si>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</si>
  <si>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</si>
  <si>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</si>
  <si>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</si>
  <si>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</si>
  <si>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</si>
  <si>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rPr>
      <t xml:space="preserve"> Income</t>
    </r>
  </si>
  <si>
    <r>
      <t xml:space="preserve">Gross </t>
    </r>
    <r>
      <rPr>
        <b/>
        <sz val="10"/>
        <rFont val="Arial"/>
        <family val="2"/>
      </rPr>
      <t>Monthly Unearned</t>
    </r>
    <r>
      <rPr>
        <sz val="10"/>
        <rFont val="Arial"/>
      </rPr>
      <t xml:space="preserve"> Income</t>
    </r>
  </si>
  <si>
    <t>Step 3: Net Income Test   (require)</t>
  </si>
  <si>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</si>
  <si>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</si>
  <si>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rPr>
      <t>►</t>
    </r>
  </si>
  <si>
    <t>TOTAL OF ABOVE:</t>
  </si>
  <si>
    <t xml:space="preserve">   TOTAL SHELTER COSTS: </t>
  </si>
  <si>
    <r>
      <t xml:space="preserve">Monthly Net Income </t>
    </r>
    <r>
      <rPr>
        <b/>
        <sz val="10"/>
        <rFont val="Arial"/>
      </rPr>
      <t>►</t>
    </r>
  </si>
  <si>
    <t xml:space="preserve">   Step 4-1</t>
  </si>
  <si>
    <t>Step 4: Final Determination</t>
  </si>
  <si>
    <t xml:space="preserve">   Step 4-2</t>
  </si>
  <si>
    <r>
      <t xml:space="preserve">Are </t>
    </r>
    <r>
      <rPr>
        <b/>
        <sz val="10"/>
        <rFont val="Arial"/>
        <family val="2"/>
      </rPr>
      <t xml:space="preserve">all </t>
    </r>
    <r>
      <rPr>
        <sz val="10"/>
        <rFont val="Arial"/>
        <family val="2"/>
      </rPr>
      <t xml:space="preserve">members of the household currently receiving </t>
    </r>
    <r>
      <rPr>
        <b/>
        <sz val="10"/>
        <rFont val="Arial"/>
        <family val="2"/>
      </rPr>
      <t>SSI</t>
    </r>
    <r>
      <rPr>
        <sz val="10"/>
        <rFont val="Arial"/>
        <family val="2"/>
      </rPr>
      <t xml:space="preserve"> or </t>
    </r>
    <r>
      <rPr>
        <b/>
        <sz val="10"/>
        <rFont val="Arial"/>
        <family val="2"/>
      </rPr>
      <t>EAEDC</t>
    </r>
    <r>
      <rPr>
        <sz val="10"/>
        <rFont val="Arial"/>
        <family val="2"/>
      </rPr>
      <t xml:space="preserve"> benefits  </t>
    </r>
    <r>
      <rPr>
        <b/>
        <sz val="10"/>
        <rFont val="Arial"/>
        <family val="2"/>
      </rPr>
      <t>OR</t>
    </r>
    <r>
      <rPr>
        <sz val="10"/>
        <rFont val="Arial"/>
        <family val="2"/>
      </rPr>
      <t xml:space="preserve"> is there an </t>
    </r>
    <r>
      <rPr>
        <b/>
        <sz val="10"/>
        <rFont val="Arial"/>
        <family val="2"/>
      </rPr>
      <t>elderly</t>
    </r>
    <r>
      <rPr>
        <sz val="10"/>
        <rFont val="Arial"/>
        <family val="2"/>
      </rPr>
      <t xml:space="preserve"> (60+ y/o) or </t>
    </r>
    <r>
      <rPr>
        <b/>
        <sz val="10"/>
        <rFont val="Arial"/>
        <family val="2"/>
      </rPr>
      <t>disabled</t>
    </r>
    <r>
      <rPr>
        <sz val="10"/>
        <rFont val="Arial"/>
        <family val="2"/>
      </rPr>
      <t xml:space="preserve"> person in the household?</t>
    </r>
  </si>
  <si>
    <t>If applicable, is household below the 200% Poverty Level?</t>
  </si>
  <si>
    <t>Does 200% poverty level test apply?</t>
  </si>
  <si>
    <t>yes</t>
  </si>
  <si>
    <t>130% poverty level/gross income test for HH</t>
  </si>
  <si>
    <t>200% poverty level/gross income test for HH</t>
  </si>
  <si>
    <t>130% Poverty Level for your Household Size</t>
  </si>
  <si>
    <t>200% Poverty Level for your Household Size</t>
  </si>
  <si>
    <t>Does 200% Poverty Level Apply?</t>
  </si>
  <si>
    <t>Does asset test apply?</t>
  </si>
  <si>
    <t>Shelter Expenses</t>
  </si>
  <si>
    <t>Rent</t>
  </si>
  <si>
    <t>Standard Utility Allowance (SUA)</t>
  </si>
  <si>
    <t>Are shelter expenses equal or greater than $459?</t>
  </si>
  <si>
    <t>Enter a lower case y if any of the following apply:</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</si>
  <si>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</si>
  <si>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</si>
  <si>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</si>
  <si>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</si>
  <si>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</si>
  <si>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rPr>
      <t>►</t>
    </r>
  </si>
  <si>
    <r>
      <t xml:space="preserve">Enter Gross </t>
    </r>
    <r>
      <rPr>
        <b/>
        <sz val="10"/>
        <rFont val="Arial"/>
        <family val="2"/>
      </rPr>
      <t>Unearned</t>
    </r>
    <r>
      <rPr>
        <sz val="10"/>
        <rFont val="Arial"/>
      </rPr>
      <t xml:space="preserve"> Income (only enter </t>
    </r>
    <r>
      <rPr>
        <b/>
        <sz val="10"/>
        <color indexed="10"/>
        <rFont val="Arial"/>
        <family val="2"/>
      </rPr>
      <t>ONCE</t>
    </r>
    <r>
      <rPr>
        <sz val="10"/>
        <rFont val="Arial"/>
      </rPr>
      <t xml:space="preserve"> per income source) Inclue child support received)</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</si>
  <si>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</si>
  <si>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</si>
  <si>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</si>
  <si>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</si>
  <si>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130% FPL Gross Income test (childless non-elder/non-disabled) (</t>
    </r>
    <r>
      <rPr>
        <b/>
        <i/>
        <sz val="10"/>
        <rFont val="Arial"/>
        <family val="2"/>
      </rPr>
      <t xml:space="preserve">see </t>
    </r>
    <r>
      <rPr>
        <b/>
        <sz val="10"/>
        <rFont val="Arial"/>
        <family val="2"/>
      </rPr>
      <t>§364.950; see also §364.370)</t>
    </r>
  </si>
  <si>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$478/month even though your costs may be higher.</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</si>
  <si>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</si>
  <si>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</si>
  <si>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</si>
  <si>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</si>
  <si>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</si>
  <si>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This calculator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this website.</t>
  </si>
  <si>
    <t>If DTA denies SNAP to a household with an elder/disabled member due to the net income test, or household includes a non-elder/disabled member, this may violate cat el rules.  Contact MLRI.</t>
  </si>
  <si>
    <t>Max. SNAP allotment for household size</t>
  </si>
  <si>
    <t>Revised January 27, 2014</t>
  </si>
  <si>
    <t>The following worksheet facilitates the calculation of SNAP allotments, based upon figures effective November 1, 2013 through September 30, 2014 (and includes the January 2014 COLA in the 200% gross income test).  This worksheet is intended only as a guide for advocates assisting families and individuals with the Food Stamp Program.  Actual figures are subject to the approval of the Department of Transitional Assistance.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</si>
</sst>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ont>
    <font>
      <sz val="16"/>
      <name val="Arial"/>
      <family val="2"/>
    </font>
    <font>
      <b/>
      <sz val="16"/>
      <name val="Arial"/>
      <family val="2"/>
    </font>
    <font>
      <b/>
      <sz val="10"/>
      <name val="Arial"/>
      <family val="2"/>
    </font>
    <font>
      <b/>
      <sz val="10"/>
      <name val="Arial"/>
    </font>
    <font>
      <sz val="10"/>
      <name val="Arial"/>
      <family val="2"/>
    </font>
    <font>
      <u/>
      <sz val="10"/>
      <color indexed="12"/>
      <name val="Arial"/>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sz val="12"/>
      <name val="Wingdings"/>
      <charset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ont>
    <font>
      <i/>
      <sz val="12"/>
      <name val="Arial"/>
      <family val="2"/>
    </font>
    <font>
      <b/>
      <sz val="10"/>
      <color indexed="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14" fillId="6" borderId="0" xfId="0" applyFont="1" applyFill="1" applyBorder="1"/>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20" fillId="2" borderId="0" xfId="0" applyFont="1" applyFill="1"/>
    <xf numFmtId="164" fontId="20" fillId="2" borderId="0" xfId="0" applyNumberFormat="1" applyFont="1" applyFill="1"/>
    <xf numFmtId="164" fontId="20" fillId="2" borderId="5" xfId="0" applyNumberFormat="1" applyFont="1" applyFill="1" applyBorder="1"/>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NumberFormat="1" applyFont="1" applyFill="1" applyAlignment="1"/>
    <xf numFmtId="0" fontId="19" fillId="2" borderId="0" xfId="0" applyFont="1" applyFill="1" applyAlignment="1">
      <alignment horizontal="right"/>
    </xf>
    <xf numFmtId="166" fontId="18" fillId="2" borderId="0" xfId="0" applyNumberFormat="1" applyFont="1" applyFill="1" applyAlignment="1">
      <alignment horizontal="left"/>
    </xf>
    <xf numFmtId="18" fontId="18"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5"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6" fillId="2" borderId="0" xfId="0" applyFont="1" applyFill="1" applyProtection="1"/>
    <xf numFmtId="164" fontId="0" fillId="2" borderId="0" xfId="0" applyNumberFormat="1" applyFill="1" applyProtection="1"/>
    <xf numFmtId="0" fontId="16"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20" fillId="2" borderId="0" xfId="0" applyFont="1" applyFill="1" applyAlignment="1">
      <alignment horizontal="left"/>
    </xf>
    <xf numFmtId="0" fontId="20" fillId="2" borderId="0" xfId="0" applyFont="1" applyFill="1" applyAlignment="1">
      <alignment wrapText="1"/>
    </xf>
    <xf numFmtId="164" fontId="23" fillId="2" borderId="0" xfId="0" applyNumberFormat="1" applyFont="1" applyFill="1"/>
    <xf numFmtId="164" fontId="23"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7" fillId="5" borderId="10" xfId="0" applyFont="1" applyFill="1" applyBorder="1" applyProtection="1"/>
    <xf numFmtId="0" fontId="0" fillId="0" borderId="0" xfId="0" applyFill="1" applyProtection="1"/>
    <xf numFmtId="0" fontId="6" fillId="3" borderId="4" xfId="0" applyFont="1" applyFill="1" applyBorder="1" applyAlignment="1" applyProtection="1">
      <alignment horizontal="center"/>
      <protection locked="0"/>
    </xf>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7"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6" fillId="0" borderId="0" xfId="0" applyFont="1" applyFill="1" applyBorder="1" applyAlignment="1" applyProtection="1">
      <alignment horizontal="center"/>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4" fillId="0" borderId="15" xfId="0" applyFont="1" applyFill="1" applyBorder="1" applyAlignment="1" applyProtection="1">
      <alignment horizontal="center"/>
    </xf>
    <xf numFmtId="0" fontId="4" fillId="0" borderId="6" xfId="0" applyFont="1" applyFill="1" applyBorder="1" applyAlignment="1" applyProtection="1">
      <alignment horizontal="center"/>
    </xf>
    <xf numFmtId="0" fontId="0" fillId="0" borderId="0" xfId="0" applyFill="1" applyAlignment="1" applyProtection="1">
      <alignment horizontal="left" wrapText="1" indent="1"/>
    </xf>
    <xf numFmtId="0" fontId="4" fillId="0" borderId="4" xfId="0" applyFont="1" applyFill="1" applyBorder="1" applyAlignment="1" applyProtection="1">
      <alignment horizontal="center"/>
    </xf>
    <xf numFmtId="0" fontId="4" fillId="0" borderId="16" xfId="0" applyFont="1" applyFill="1" applyBorder="1" applyAlignment="1" applyProtection="1">
      <alignment horizontal="center"/>
    </xf>
    <xf numFmtId="0" fontId="4" fillId="2" borderId="17"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6"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7" fillId="5" borderId="0" xfId="0" applyFont="1" applyFill="1" applyBorder="1" applyAlignment="1" applyProtection="1">
      <alignment horizontal="left" wrapText="1"/>
    </xf>
    <xf numFmtId="0" fontId="27"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2" fillId="7" borderId="21" xfId="6" applyFont="1" applyFill="1" applyBorder="1" applyAlignment="1" applyProtection="1">
      <alignment horizontal="center"/>
    </xf>
    <xf numFmtId="0" fontId="22" fillId="7" borderId="22" xfId="6" applyFont="1" applyFill="1" applyBorder="1" applyAlignment="1" applyProtection="1">
      <alignment horizontal="center"/>
    </xf>
    <xf numFmtId="0" fontId="22" fillId="7" borderId="23" xfId="6" applyFont="1" applyFill="1" applyBorder="1" applyAlignment="1" applyProtection="1">
      <alignment horizontal="center"/>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8"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21" fillId="2" borderId="0" xfId="0" applyFont="1" applyFill="1" applyAlignment="1">
      <alignment horizontal="center" vertical="top"/>
    </xf>
    <xf numFmtId="0" fontId="0" fillId="8" borderId="24" xfId="0" applyFill="1" applyBorder="1"/>
    <xf numFmtId="0" fontId="0" fillId="8" borderId="25" xfId="0" applyFill="1" applyBorder="1"/>
    <xf numFmtId="0" fontId="0" fillId="8" borderId="26" xfId="0" applyFill="1" applyBorder="1"/>
    <xf numFmtId="0" fontId="24" fillId="2" borderId="0" xfId="0" applyFont="1" applyFill="1" applyAlignment="1">
      <alignment wrapText="1"/>
    </xf>
    <xf numFmtId="0" fontId="18" fillId="2" borderId="0" xfId="0" applyFont="1" applyFill="1" applyAlignment="1">
      <alignment wrapText="1"/>
    </xf>
    <xf numFmtId="0" fontId="25" fillId="2" borderId="27"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8" xfId="6" applyFont="1" applyFill="1" applyBorder="1" applyAlignment="1" applyProtection="1">
      <alignment horizontal="center" vertical="center"/>
    </xf>
    <xf numFmtId="0" fontId="13" fillId="9" borderId="29" xfId="6" applyFont="1" applyFill="1" applyBorder="1" applyAlignment="1" applyProtection="1">
      <alignment horizontal="center" vertical="center"/>
    </xf>
    <xf numFmtId="44" fontId="4" fillId="3" borderId="1" xfId="4" applyBorder="1"/>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6"/>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7" hidden="1" customWidth="1"/>
    <col min="11" max="11" width="0"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9" t="s">
        <v>195</v>
      </c>
      <c r="B1" s="239"/>
      <c r="C1" s="239"/>
      <c r="D1" s="239"/>
      <c r="E1" s="108" t="s">
        <v>132</v>
      </c>
      <c r="J1" s="144"/>
    </row>
    <row r="2" spans="1:10" ht="20.25" x14ac:dyDescent="0.3">
      <c r="A2" s="162" t="s">
        <v>199</v>
      </c>
      <c r="B2" s="163"/>
      <c r="C2" s="164"/>
      <c r="D2" s="165"/>
      <c r="E2" s="32"/>
      <c r="F2" s="145"/>
      <c r="G2" s="145"/>
    </row>
    <row r="3" spans="1:10" ht="57.75" customHeight="1" x14ac:dyDescent="0.2">
      <c r="A3" s="240" t="s">
        <v>200</v>
      </c>
      <c r="B3" s="240"/>
      <c r="C3" s="240"/>
      <c r="D3" s="240"/>
      <c r="E3" s="33"/>
    </row>
    <row r="4" spans="1:10" ht="39.75" customHeight="1" x14ac:dyDescent="0.2">
      <c r="A4" s="245" t="s">
        <v>196</v>
      </c>
      <c r="B4" s="245"/>
      <c r="C4" s="245"/>
      <c r="D4" s="245"/>
      <c r="E4" s="33"/>
    </row>
    <row r="5" spans="1:10" x14ac:dyDescent="0.2">
      <c r="A5" s="241"/>
      <c r="B5" s="241"/>
      <c r="C5" s="241"/>
      <c r="D5" s="241"/>
      <c r="E5" s="109"/>
    </row>
    <row r="6" spans="1:10" x14ac:dyDescent="0.2">
      <c r="A6" s="249" t="s">
        <v>178</v>
      </c>
      <c r="B6" s="250"/>
      <c r="C6" s="250"/>
      <c r="D6" s="250"/>
    </row>
    <row r="7" spans="1:10" s="26" customFormat="1" x14ac:dyDescent="0.2">
      <c r="A7" s="250"/>
      <c r="B7" s="250"/>
      <c r="C7" s="250"/>
      <c r="D7" s="250"/>
      <c r="E7" s="31"/>
      <c r="J7" s="144"/>
    </row>
    <row r="8" spans="1:10" x14ac:dyDescent="0.2">
      <c r="A8" s="166"/>
      <c r="B8" s="56"/>
      <c r="C8" s="56"/>
      <c r="D8" s="56"/>
      <c r="E8" s="21"/>
    </row>
    <row r="9" spans="1:10" x14ac:dyDescent="0.2">
      <c r="A9" s="167" t="s">
        <v>185</v>
      </c>
      <c r="B9" s="242"/>
      <c r="C9" s="243"/>
      <c r="D9" s="244"/>
      <c r="E9" s="21"/>
    </row>
    <row r="10" spans="1:10" x14ac:dyDescent="0.2">
      <c r="A10" s="167" t="s">
        <v>186</v>
      </c>
      <c r="B10" s="242"/>
      <c r="C10" s="243"/>
      <c r="D10" s="244"/>
      <c r="E10" s="21"/>
    </row>
    <row r="11" spans="1:10" ht="38.25" customHeight="1" x14ac:dyDescent="0.2">
      <c r="A11" s="167" t="s">
        <v>187</v>
      </c>
      <c r="B11" s="254"/>
      <c r="C11" s="255"/>
      <c r="D11" s="256"/>
      <c r="E11" s="21"/>
    </row>
    <row r="12" spans="1:10" s="146" customFormat="1" ht="16.5" thickBot="1" x14ac:dyDescent="0.3">
      <c r="A12" s="168" t="s">
        <v>125</v>
      </c>
      <c r="B12" s="169"/>
      <c r="C12" s="169"/>
      <c r="D12" s="169"/>
      <c r="E12" s="87"/>
      <c r="J12" s="153"/>
    </row>
    <row r="13" spans="1:10" x14ac:dyDescent="0.2">
      <c r="A13" s="170" t="s">
        <v>177</v>
      </c>
      <c r="B13" s="56"/>
      <c r="C13" s="56"/>
      <c r="D13" s="56"/>
      <c r="E13" s="39"/>
    </row>
    <row r="14" spans="1:10" x14ac:dyDescent="0.2">
      <c r="A14" s="170"/>
      <c r="B14" s="56"/>
      <c r="C14" s="56"/>
      <c r="D14" s="56"/>
      <c r="E14" s="39"/>
    </row>
    <row r="15" spans="1:10" ht="15" outlineLevel="1" x14ac:dyDescent="0.2">
      <c r="A15" s="171" t="s">
        <v>59</v>
      </c>
      <c r="B15" s="128"/>
      <c r="C15" s="58"/>
      <c r="D15" s="59"/>
      <c r="E15" s="35"/>
      <c r="J15" s="147">
        <f>IF(B15="y",1,0)</f>
        <v>0</v>
      </c>
    </row>
    <row r="16" spans="1:10" outlineLevel="1" x14ac:dyDescent="0.2">
      <c r="A16" s="171" t="s">
        <v>68</v>
      </c>
      <c r="B16" s="128"/>
      <c r="C16" s="58"/>
      <c r="D16" s="59"/>
      <c r="E16" s="21"/>
      <c r="J16" s="147">
        <f>IF(B16="y",1,0)</f>
        <v>0</v>
      </c>
    </row>
    <row r="17" spans="1:10" ht="38.25" outlineLevel="1" x14ac:dyDescent="0.2">
      <c r="A17" s="172" t="s">
        <v>163</v>
      </c>
      <c r="B17" s="128"/>
      <c r="C17" s="58"/>
      <c r="D17" s="59"/>
      <c r="E17" s="21"/>
      <c r="J17" s="147">
        <f>IF(B17="y",1,0)</f>
        <v>0</v>
      </c>
    </row>
    <row r="18" spans="1:10" outlineLevel="1" x14ac:dyDescent="0.2">
      <c r="A18" s="172"/>
      <c r="B18" s="173"/>
      <c r="C18" s="58"/>
      <c r="D18" s="59"/>
      <c r="E18" s="21"/>
      <c r="J18" s="147">
        <f>SUM(J15:J17)</f>
        <v>0</v>
      </c>
    </row>
    <row r="19" spans="1:10" outlineLevel="1" x14ac:dyDescent="0.2">
      <c r="A19" s="172"/>
      <c r="B19" s="58"/>
      <c r="C19" s="56"/>
      <c r="D19" s="56"/>
      <c r="E19" s="21"/>
      <c r="J19" s="147" t="s">
        <v>166</v>
      </c>
    </row>
    <row r="20" spans="1:10" s="148" customFormat="1" ht="16.5" thickBot="1" x14ac:dyDescent="0.3">
      <c r="A20" s="174" t="s">
        <v>135</v>
      </c>
      <c r="B20" s="57"/>
      <c r="C20" s="57"/>
      <c r="D20" s="57"/>
      <c r="E20" s="41"/>
      <c r="J20" s="154"/>
    </row>
    <row r="21" spans="1:10" outlineLevel="1" x14ac:dyDescent="0.2">
      <c r="A21" s="172" t="s">
        <v>109</v>
      </c>
      <c r="B21" s="56"/>
      <c r="C21" s="60" t="s">
        <v>151</v>
      </c>
      <c r="D21" s="56"/>
      <c r="E21" s="21"/>
      <c r="G21" s="149"/>
    </row>
    <row r="22" spans="1:10" outlineLevel="1" x14ac:dyDescent="0.2">
      <c r="A22" s="175" t="s">
        <v>1</v>
      </c>
      <c r="B22" s="129"/>
      <c r="C22" s="62">
        <f>B22</f>
        <v>0</v>
      </c>
      <c r="D22" s="59" t="str">
        <f>IF(AND((B22&gt;0),(B23&gt;0)), "Do not enter the same income more than once!", "")</f>
        <v/>
      </c>
      <c r="E22" s="21"/>
      <c r="G22" s="149"/>
    </row>
    <row r="23" spans="1:10" outlineLevel="1" x14ac:dyDescent="0.2">
      <c r="A23" s="175" t="s">
        <v>0</v>
      </c>
      <c r="B23" s="129"/>
      <c r="C23" s="61">
        <f>B23*4.333</f>
        <v>0</v>
      </c>
      <c r="D23" s="59" t="str">
        <f>IF(AND((B22&gt;0),(B23&gt;0)), "Do not enter the same income more than once!", "")</f>
        <v/>
      </c>
      <c r="E23" s="21"/>
      <c r="G23" s="149"/>
    </row>
    <row r="24" spans="1:10" s="106" customFormat="1" outlineLevel="1" x14ac:dyDescent="0.2">
      <c r="A24" s="176" t="s">
        <v>42</v>
      </c>
      <c r="B24" s="28">
        <f>SUM(C22:C23)</f>
        <v>0</v>
      </c>
      <c r="C24" s="28"/>
      <c r="D24" s="29"/>
      <c r="E24" s="30"/>
      <c r="G24" s="107"/>
      <c r="J24" s="155"/>
    </row>
    <row r="25" spans="1:10" s="106" customFormat="1" ht="25.5" outlineLevel="1" x14ac:dyDescent="0.2">
      <c r="A25" s="172" t="s">
        <v>184</v>
      </c>
      <c r="B25" s="177"/>
      <c r="C25" s="60" t="s">
        <v>152</v>
      </c>
      <c r="D25" s="85"/>
      <c r="E25" s="30"/>
      <c r="G25" s="107"/>
      <c r="J25" s="155"/>
    </row>
    <row r="26" spans="1:10" s="106" customFormat="1" outlineLevel="1" x14ac:dyDescent="0.2">
      <c r="A26" s="175" t="s">
        <v>1</v>
      </c>
      <c r="B26" s="129"/>
      <c r="C26" s="62">
        <f>B26</f>
        <v>0</v>
      </c>
      <c r="D26" s="59" t="str">
        <f>IF((AND(B27&gt;0, B26&gt;0)), "Do not enter the same income more than once!", "")</f>
        <v/>
      </c>
      <c r="E26" s="30"/>
      <c r="G26" s="107"/>
      <c r="J26" s="155"/>
    </row>
    <row r="27" spans="1:10" s="106" customFormat="1" outlineLevel="1" x14ac:dyDescent="0.2">
      <c r="A27" s="175" t="s">
        <v>0</v>
      </c>
      <c r="B27" s="129"/>
      <c r="C27" s="61">
        <f>B27*4.333</f>
        <v>0</v>
      </c>
      <c r="D27" s="59" t="str">
        <f>IF((AND(B26&gt;0, B27&gt;0)), "Do not enter the same income more than once!", "")</f>
        <v/>
      </c>
      <c r="E27" s="30"/>
      <c r="G27" s="107"/>
      <c r="J27" s="155"/>
    </row>
    <row r="28" spans="1:10" outlineLevel="1" x14ac:dyDescent="0.2">
      <c r="A28" s="178" t="s">
        <v>94</v>
      </c>
      <c r="B28" s="86">
        <f>SUM(C26:C27)</f>
        <v>0</v>
      </c>
      <c r="C28" s="27"/>
      <c r="D28" s="27"/>
      <c r="E28" s="21"/>
      <c r="G28" s="149"/>
    </row>
    <row r="29" spans="1:10" ht="12" customHeight="1" outlineLevel="1" x14ac:dyDescent="0.2">
      <c r="A29" s="179"/>
      <c r="B29" s="236"/>
      <c r="C29" s="159"/>
      <c r="D29" s="159"/>
      <c r="E29" s="115"/>
      <c r="G29" s="149"/>
    </row>
    <row r="30" spans="1:10" ht="26.25" outlineLevel="1" thickBot="1" x14ac:dyDescent="0.25">
      <c r="A30" s="179" t="s">
        <v>179</v>
      </c>
      <c r="B30" s="129"/>
      <c r="C30" s="160">
        <f>B30</f>
        <v>0</v>
      </c>
      <c r="D30" s="159"/>
      <c r="E30" s="21"/>
      <c r="G30" s="149"/>
    </row>
    <row r="31" spans="1:10" s="150" customFormat="1" outlineLevel="1" x14ac:dyDescent="0.2">
      <c r="A31" s="180" t="s">
        <v>183</v>
      </c>
      <c r="B31" s="181">
        <f>SUM((B24+B28)-B30)</f>
        <v>0</v>
      </c>
      <c r="C31" s="125"/>
      <c r="D31" s="27"/>
      <c r="E31" s="37"/>
      <c r="J31" s="155"/>
    </row>
    <row r="32" spans="1:10" ht="13.5" outlineLevel="1" thickBot="1" x14ac:dyDescent="0.25">
      <c r="A32" s="182"/>
      <c r="B32" s="183"/>
      <c r="C32" s="56"/>
      <c r="D32" s="56"/>
      <c r="E32" s="21"/>
      <c r="J32" s="147" t="e">
        <f>IF(B31&lt;=B35,1,0)</f>
        <v>#N/A</v>
      </c>
    </row>
    <row r="33" spans="1:10" ht="16.5" outlineLevel="1" thickBot="1" x14ac:dyDescent="0.3">
      <c r="A33" s="184" t="s">
        <v>127</v>
      </c>
      <c r="B33" s="130"/>
      <c r="C33" s="56"/>
      <c r="D33" s="56"/>
      <c r="E33" s="21"/>
    </row>
    <row r="34" spans="1:10" outlineLevel="1" x14ac:dyDescent="0.2">
      <c r="A34" s="185"/>
      <c r="B34" s="62"/>
      <c r="C34" s="63"/>
      <c r="D34" s="63"/>
      <c r="E34" s="21"/>
      <c r="J34" s="147" t="e">
        <f>IF(B38="yes",1,0)</f>
        <v>#N/A</v>
      </c>
    </row>
    <row r="35" spans="1:10" outlineLevel="1" x14ac:dyDescent="0.2">
      <c r="A35" s="186" t="s">
        <v>167</v>
      </c>
      <c r="B35" s="64" t="e">
        <f>IF(HH_SIZE&lt;=8, LOOKUP(HH_SIZE,Ref_Tables!A10:B17), income_max8+((HH_SIZE-8)*income_max_over8))</f>
        <v>#N/A</v>
      </c>
      <c r="C35" s="56"/>
      <c r="D35" s="56"/>
      <c r="E35" s="21"/>
      <c r="J35" s="147" t="e">
        <f>SUM(J32:J34)</f>
        <v>#N/A</v>
      </c>
    </row>
    <row r="36" spans="1:10" outlineLevel="1" x14ac:dyDescent="0.2">
      <c r="A36" s="186" t="s">
        <v>168</v>
      </c>
      <c r="B36" s="64" t="e">
        <f>IF(HH_SIZE&lt;=8,
 LOOKUP(HH_SIZE,Ref_Tables!A22:B29),
 Ref_Tables!B29+((HH_SIZE-8)*Ref_Tables!B30))</f>
        <v>#N/A</v>
      </c>
      <c r="C36" s="56"/>
      <c r="D36" s="56"/>
      <c r="E36" s="21"/>
    </row>
    <row r="37" spans="1:10" outlineLevel="1" x14ac:dyDescent="0.2">
      <c r="A37" s="171" t="s">
        <v>165</v>
      </c>
      <c r="B37" s="187" t="str">
        <f>IF(OR(B15="y",B16="y",B17="y"),"yes","no")</f>
        <v>no</v>
      </c>
      <c r="C37" s="188"/>
      <c r="D37" s="56"/>
      <c r="E37" s="21"/>
    </row>
    <row r="38" spans="1:10" outlineLevel="1" x14ac:dyDescent="0.2">
      <c r="A38" s="189" t="s">
        <v>164</v>
      </c>
      <c r="B38" s="190" t="e">
        <f>IF((AND(B37="yes",B31&lt;=B36)),"yes","no")</f>
        <v>#N/A</v>
      </c>
      <c r="C38" s="56"/>
      <c r="D38" s="127"/>
      <c r="E38" s="21" t="s">
        <v>66</v>
      </c>
    </row>
    <row r="39" spans="1:10" outlineLevel="1" x14ac:dyDescent="0.2">
      <c r="A39" s="189" t="s">
        <v>172</v>
      </c>
      <c r="B39" s="191" t="e">
        <f>IF(AND((B31&gt;B36),(B17="y")),"Yes, assets must be &lt;=$3,000","no")</f>
        <v>#N/A</v>
      </c>
      <c r="C39" s="56"/>
      <c r="D39" s="127"/>
      <c r="E39" s="21"/>
    </row>
    <row r="40" spans="1:10" ht="13.5" outlineLevel="1" thickBot="1" x14ac:dyDescent="0.25">
      <c r="A40" s="171"/>
      <c r="B40" s="192"/>
      <c r="C40" s="193"/>
      <c r="D40" s="56"/>
      <c r="E40" s="21"/>
    </row>
    <row r="41" spans="1:10" s="103" customFormat="1" ht="17.25" thickTop="1" thickBot="1" x14ac:dyDescent="0.3">
      <c r="A41" s="194" t="s">
        <v>136</v>
      </c>
      <c r="B41" s="195" t="e">
        <f>IF(B17="y","PASSED",IF(J35&gt;0,"PASSED","FAILED"))</f>
        <v>#N/A</v>
      </c>
      <c r="C41" s="126" t="e">
        <f>IF(B41="FAILED", "STOP; do not continue", "")</f>
        <v>#N/A</v>
      </c>
      <c r="D41" s="140"/>
      <c r="E41" s="40"/>
      <c r="J41" s="147">
        <f>IF(B15="y",1,0)</f>
        <v>0</v>
      </c>
    </row>
    <row r="42" spans="1:10" ht="13.5" thickTop="1" x14ac:dyDescent="0.2">
      <c r="A42" s="196"/>
      <c r="B42" s="197"/>
      <c r="C42" s="56"/>
      <c r="D42" s="56"/>
      <c r="E42" s="21"/>
      <c r="J42" s="147">
        <f>IF(B16="y",1,0)</f>
        <v>0</v>
      </c>
    </row>
    <row r="43" spans="1:10" s="103" customFormat="1" ht="16.5" thickBot="1" x14ac:dyDescent="0.3">
      <c r="A43" s="198" t="s">
        <v>153</v>
      </c>
      <c r="B43" s="65"/>
      <c r="C43" s="65"/>
      <c r="D43" s="65"/>
      <c r="E43" s="42"/>
      <c r="J43" s="147">
        <f>IF(B17="y",1,0)</f>
        <v>0</v>
      </c>
    </row>
    <row r="44" spans="1:10" s="26" customFormat="1" ht="15.75" outlineLevel="1" x14ac:dyDescent="0.25">
      <c r="A44" s="199" t="s">
        <v>137</v>
      </c>
      <c r="B44" s="134"/>
      <c r="C44" s="134"/>
      <c r="D44" s="134"/>
      <c r="E44" s="36" t="s">
        <v>40</v>
      </c>
      <c r="J44" s="156">
        <f>SUM(J41:J43)</f>
        <v>0</v>
      </c>
    </row>
    <row r="45" spans="1:10" outlineLevel="1" x14ac:dyDescent="0.2">
      <c r="A45" s="175"/>
      <c r="B45" s="56"/>
      <c r="C45" s="56"/>
      <c r="D45" s="56"/>
      <c r="E45" s="21"/>
      <c r="J45" s="144"/>
    </row>
    <row r="46" spans="1:10" s="151" customFormat="1" outlineLevel="1" x14ac:dyDescent="0.2">
      <c r="A46" s="200" t="s">
        <v>138</v>
      </c>
      <c r="B46" s="24" t="e">
        <f>IF(HH_SIZE&lt;6, LOOKUP(HH_SIZE, Ref_Tables!A34:B38), stddeduct_6over)</f>
        <v>#N/A</v>
      </c>
      <c r="C46" s="22"/>
      <c r="D46" s="22"/>
      <c r="E46" s="38" t="s">
        <v>30</v>
      </c>
      <c r="J46" s="147"/>
    </row>
    <row r="47" spans="1:10" outlineLevel="1" x14ac:dyDescent="0.2">
      <c r="A47" s="175"/>
      <c r="B47" s="56"/>
      <c r="C47" s="56"/>
      <c r="D47" s="56"/>
      <c r="E47" s="21"/>
      <c r="J47" s="157" t="e">
        <f>IF(J35=1,1,0)</f>
        <v>#N/A</v>
      </c>
    </row>
    <row r="48" spans="1:10" s="151" customFormat="1" outlineLevel="1" x14ac:dyDescent="0.2">
      <c r="A48" s="200" t="s">
        <v>139</v>
      </c>
      <c r="B48" s="24">
        <f>Earned_Income*earned_income_deduction</f>
        <v>0</v>
      </c>
      <c r="C48" s="23"/>
      <c r="D48" s="22"/>
      <c r="E48" s="38" t="s">
        <v>29</v>
      </c>
      <c r="J48" s="147" t="s">
        <v>166</v>
      </c>
    </row>
    <row r="49" spans="1:10" outlineLevel="1" x14ac:dyDescent="0.2">
      <c r="A49" s="175"/>
      <c r="B49" s="56"/>
      <c r="C49" s="56"/>
      <c r="D49" s="56"/>
      <c r="E49" s="21"/>
      <c r="J49" s="157"/>
    </row>
    <row r="50" spans="1:10" ht="30" customHeight="1" outlineLevel="1" x14ac:dyDescent="0.2">
      <c r="A50" s="237" t="str">
        <f>IF(B17="y", "Medical Expenses", "SKIP THIS Excess Medical Deduction section if no elder or disabled person in household")</f>
        <v>SKIP THIS Excess Medical Deduction section if no elder or disabled person in household</v>
      </c>
      <c r="B50" s="100"/>
      <c r="C50" s="261"/>
      <c r="D50" s="262"/>
      <c r="E50" s="21" t="s">
        <v>41</v>
      </c>
    </row>
    <row r="51" spans="1:10" outlineLevel="1" x14ac:dyDescent="0.2">
      <c r="A51" s="201"/>
      <c r="B51" s="202" t="str">
        <f>IF(B17="y","$35.00"," ")</f>
        <v xml:space="preserve"> </v>
      </c>
      <c r="C51" s="248" t="str">
        <f>IF(B17="y","Standard $90 deduction allowed if expenses are $35-$125/month. Actual amount minus $35' allowed if over $125/mo."," ")</f>
        <v xml:space="preserve"> </v>
      </c>
      <c r="D51" s="248"/>
      <c r="E51" s="21"/>
    </row>
    <row r="52" spans="1:10" s="151" customFormat="1" outlineLevel="1" x14ac:dyDescent="0.2">
      <c r="A52" s="203" t="s">
        <v>140</v>
      </c>
      <c r="B52" s="133">
        <f>IF(Household_SSI="y",IF(B50&gt;125,B50-B51,IF(B50-B51&lt;0,0,90)),0)</f>
        <v>0</v>
      </c>
      <c r="C52" s="248"/>
      <c r="D52" s="248"/>
      <c r="E52" s="38"/>
      <c r="J52" s="147"/>
    </row>
    <row r="53" spans="1:10" s="151" customFormat="1" outlineLevel="1" x14ac:dyDescent="0.2">
      <c r="A53" s="259"/>
      <c r="B53" s="260"/>
      <c r="C53" s="248"/>
      <c r="D53" s="248"/>
      <c r="E53" s="38"/>
      <c r="J53" s="157"/>
    </row>
    <row r="54" spans="1:10" outlineLevel="1" x14ac:dyDescent="0.2">
      <c r="A54" s="175"/>
      <c r="B54" s="204"/>
      <c r="C54" s="205"/>
      <c r="D54" s="205"/>
      <c r="E54" s="21"/>
      <c r="J54" s="157"/>
    </row>
    <row r="55" spans="1:10" outlineLevel="1" x14ac:dyDescent="0.2">
      <c r="A55" s="175" t="s">
        <v>75</v>
      </c>
      <c r="B55" s="257" t="s">
        <v>154</v>
      </c>
      <c r="C55" s="258"/>
      <c r="D55" s="56"/>
      <c r="E55" s="21" t="s">
        <v>21</v>
      </c>
    </row>
    <row r="56" spans="1:10" ht="12.75" customHeight="1" outlineLevel="1" x14ac:dyDescent="0.2">
      <c r="A56" s="206" t="s">
        <v>128</v>
      </c>
      <c r="B56" s="129"/>
      <c r="C56" s="66" t="s">
        <v>39</v>
      </c>
      <c r="D56" s="246"/>
      <c r="E56" s="21"/>
    </row>
    <row r="57" spans="1:10" outlineLevel="1" x14ac:dyDescent="0.2">
      <c r="A57" s="206" t="s">
        <v>129</v>
      </c>
      <c r="B57" s="129"/>
      <c r="C57" s="66" t="s">
        <v>39</v>
      </c>
      <c r="D57" s="247"/>
      <c r="E57" s="21"/>
    </row>
    <row r="58" spans="1:10" outlineLevel="1" x14ac:dyDescent="0.2">
      <c r="A58" s="206" t="s">
        <v>130</v>
      </c>
      <c r="B58" s="129"/>
      <c r="C58" s="66" t="s">
        <v>39</v>
      </c>
      <c r="D58" s="247"/>
      <c r="E58" s="21"/>
    </row>
    <row r="59" spans="1:10" ht="13.5" outlineLevel="1" thickBot="1" x14ac:dyDescent="0.25">
      <c r="A59" s="206" t="s">
        <v>131</v>
      </c>
      <c r="B59" s="131"/>
      <c r="C59" s="66" t="s">
        <v>39</v>
      </c>
      <c r="D59" s="247"/>
      <c r="E59" s="21"/>
    </row>
    <row r="60" spans="1:10" s="151" customFormat="1" outlineLevel="1" x14ac:dyDescent="0.2">
      <c r="A60" s="207" t="s">
        <v>141</v>
      </c>
      <c r="B60" s="208">
        <f>SUM(B56:B59)</f>
        <v>0</v>
      </c>
      <c r="C60" s="104"/>
      <c r="D60" s="24"/>
      <c r="E60" s="38"/>
      <c r="J60" s="147"/>
    </row>
    <row r="61" spans="1:10" outlineLevel="1" x14ac:dyDescent="0.2">
      <c r="A61" s="175"/>
      <c r="B61" s="56"/>
      <c r="C61" s="66"/>
      <c r="D61" s="56"/>
      <c r="E61" s="21"/>
      <c r="J61" s="157"/>
    </row>
    <row r="62" spans="1:10" s="151" customFormat="1" outlineLevel="1" x14ac:dyDescent="0.2">
      <c r="A62" s="209" t="s">
        <v>73</v>
      </c>
      <c r="B62" s="67"/>
      <c r="C62" s="64"/>
      <c r="D62" s="67"/>
      <c r="E62" s="38"/>
      <c r="J62" s="147"/>
    </row>
    <row r="63" spans="1:10" outlineLevel="1" x14ac:dyDescent="0.2">
      <c r="A63" s="210" t="s">
        <v>61</v>
      </c>
      <c r="B63" s="211">
        <f>B30</f>
        <v>0</v>
      </c>
      <c r="C63" s="56"/>
      <c r="D63" s="56"/>
      <c r="E63" s="21"/>
      <c r="J63" s="157"/>
    </row>
    <row r="64" spans="1:10" s="151" customFormat="1" outlineLevel="1" x14ac:dyDescent="0.2">
      <c r="A64" s="200" t="s">
        <v>142</v>
      </c>
      <c r="B64" s="25">
        <f>B63</f>
        <v>0</v>
      </c>
      <c r="C64" s="22"/>
      <c r="D64" s="22"/>
      <c r="E64" s="21" t="s">
        <v>74</v>
      </c>
      <c r="J64" s="147"/>
    </row>
    <row r="65" spans="1:10" ht="13.5" outlineLevel="1" thickBot="1" x14ac:dyDescent="0.25">
      <c r="A65" s="175"/>
      <c r="B65" s="56"/>
      <c r="C65" s="56"/>
      <c r="D65" s="56"/>
      <c r="E65" s="21"/>
      <c r="J65" s="157"/>
    </row>
    <row r="66" spans="1:10" s="151" customFormat="1" outlineLevel="1" x14ac:dyDescent="0.2">
      <c r="A66" s="180" t="s">
        <v>156</v>
      </c>
      <c r="B66" s="110" t="e">
        <f>IF((B24+B28)-STEP3-STEP4-STEP5-STEP6-STEP8&lt;0, 0, (B24+B28)-STEP3-STEP4-STEP5-STEP6-STEP8)</f>
        <v>#N/A</v>
      </c>
      <c r="C66" s="22"/>
      <c r="D66" s="22"/>
      <c r="E66" s="38"/>
      <c r="J66" s="147"/>
    </row>
    <row r="67" spans="1:10" ht="13.5" outlineLevel="1" thickBot="1" x14ac:dyDescent="0.25">
      <c r="A67" s="172"/>
      <c r="B67" s="56"/>
      <c r="C67" s="56"/>
      <c r="D67" s="56"/>
      <c r="E67" s="21"/>
      <c r="J67" s="157"/>
    </row>
    <row r="68" spans="1:10" outlineLevel="1" x14ac:dyDescent="0.2">
      <c r="A68" s="199" t="s">
        <v>143</v>
      </c>
      <c r="B68" s="135"/>
      <c r="C68" s="135"/>
      <c r="D68" s="135"/>
      <c r="E68" s="21"/>
    </row>
    <row r="69" spans="1:10" outlineLevel="1" x14ac:dyDescent="0.2">
      <c r="A69" s="210" t="s">
        <v>181</v>
      </c>
      <c r="B69" s="136"/>
      <c r="C69" s="68"/>
      <c r="D69" s="59"/>
      <c r="E69" s="21"/>
    </row>
    <row r="70" spans="1:10" outlineLevel="1" x14ac:dyDescent="0.2">
      <c r="A70" s="212" t="str">
        <f>IF(B69="y","NO SHELTER DEDUCTION: Skip This Step.","")</f>
        <v/>
      </c>
      <c r="B70" s="56"/>
      <c r="C70" s="56"/>
      <c r="D70" s="69"/>
      <c r="E70" s="21"/>
    </row>
    <row r="71" spans="1:10" outlineLevel="1" x14ac:dyDescent="0.2">
      <c r="A71" s="209" t="s">
        <v>155</v>
      </c>
      <c r="B71" s="56"/>
      <c r="C71" s="56"/>
      <c r="D71" s="69"/>
      <c r="E71" s="21"/>
    </row>
    <row r="72" spans="1:10" outlineLevel="1" x14ac:dyDescent="0.2">
      <c r="A72" s="210" t="s">
        <v>9</v>
      </c>
      <c r="B72" s="56"/>
      <c r="C72" s="56"/>
      <c r="D72" s="69"/>
      <c r="E72" s="21"/>
    </row>
    <row r="73" spans="1:10" outlineLevel="1" x14ac:dyDescent="0.2">
      <c r="A73" s="213" t="s">
        <v>3</v>
      </c>
      <c r="B73" s="129"/>
      <c r="C73" s="56" t="s">
        <v>39</v>
      </c>
      <c r="D73" s="69"/>
      <c r="E73" s="21" t="s">
        <v>31</v>
      </c>
    </row>
    <row r="74" spans="1:10" outlineLevel="1" x14ac:dyDescent="0.2">
      <c r="A74" s="213" t="s">
        <v>4</v>
      </c>
      <c r="B74" s="129"/>
      <c r="C74" s="56" t="s">
        <v>39</v>
      </c>
      <c r="D74" s="69"/>
      <c r="E74" s="21" t="s">
        <v>32</v>
      </c>
    </row>
    <row r="75" spans="1:10" outlineLevel="1" x14ac:dyDescent="0.2">
      <c r="A75" s="213" t="s">
        <v>5</v>
      </c>
      <c r="B75" s="137"/>
      <c r="C75" s="56" t="s">
        <v>39</v>
      </c>
      <c r="D75" s="69"/>
      <c r="E75" s="21" t="s">
        <v>32</v>
      </c>
    </row>
    <row r="76" spans="1:10" outlineLevel="1" x14ac:dyDescent="0.2">
      <c r="A76" s="214" t="s">
        <v>157</v>
      </c>
      <c r="B76" s="66">
        <f>SUM(B73:B75)</f>
        <v>0</v>
      </c>
      <c r="C76" s="70"/>
      <c r="D76" s="71"/>
      <c r="E76" s="21"/>
    </row>
    <row r="77" spans="1:10" outlineLevel="1" x14ac:dyDescent="0.2">
      <c r="A77" s="210" t="s">
        <v>180</v>
      </c>
      <c r="B77" s="66"/>
      <c r="C77" s="70"/>
      <c r="D77" s="72"/>
      <c r="E77" s="21"/>
    </row>
    <row r="78" spans="1:10" outlineLevel="1" x14ac:dyDescent="0.2">
      <c r="A78" s="215" t="s">
        <v>77</v>
      </c>
      <c r="B78" s="43"/>
      <c r="C78" s="68"/>
      <c r="D78" s="59"/>
      <c r="E78" s="21"/>
    </row>
    <row r="79" spans="1:10" outlineLevel="1" x14ac:dyDescent="0.2">
      <c r="A79" s="215" t="s">
        <v>60</v>
      </c>
      <c r="B79" s="43"/>
      <c r="C79" s="68"/>
      <c r="D79" s="59"/>
      <c r="E79" s="21"/>
    </row>
    <row r="80" spans="1:10" outlineLevel="1" x14ac:dyDescent="0.2">
      <c r="A80" s="215" t="s">
        <v>76</v>
      </c>
      <c r="B80" s="43"/>
      <c r="C80" s="68"/>
      <c r="D80" s="59"/>
      <c r="E80" s="21"/>
    </row>
    <row r="81" spans="1:10" outlineLevel="1" x14ac:dyDescent="0.2">
      <c r="A81" s="215" t="str">
        <f>IF(B17="y", "Medical Expenses", "SKIP THIS QUESTION")</f>
        <v>SKIP THIS QUESTION</v>
      </c>
      <c r="B81" s="43"/>
      <c r="C81" s="68"/>
      <c r="D81" s="73"/>
      <c r="E81" s="21"/>
    </row>
    <row r="82" spans="1:10" outlineLevel="1" x14ac:dyDescent="0.2">
      <c r="A82" s="216" t="s">
        <v>2</v>
      </c>
      <c r="B82" s="217" t="str">
        <f>IF(B78="y", "Heating", IF(B79="y", "Non-heating", IF(AND(B79="n", B80="y"), "Telephone", IF(AND(B79="", B80="y"), "Telephone", "Zero Utility Expenses"))))</f>
        <v>Zero Utility Expenses</v>
      </c>
      <c r="C82" s="68"/>
      <c r="D82" s="71"/>
      <c r="E82" s="21"/>
    </row>
    <row r="83" spans="1:10" outlineLevel="1" x14ac:dyDescent="0.2">
      <c r="A83" s="218" t="s">
        <v>38</v>
      </c>
      <c r="B83" s="66">
        <f>IF(B82="Telephone", Ref_Tables!B51,LOOKUP(B82,Ref_Tables!A48:B50))</f>
        <v>0</v>
      </c>
      <c r="C83" s="74"/>
      <c r="D83" s="75"/>
      <c r="E83" s="21" t="s">
        <v>22</v>
      </c>
    </row>
    <row r="84" spans="1:10" outlineLevel="1" x14ac:dyDescent="0.2">
      <c r="A84" s="219" t="s">
        <v>158</v>
      </c>
      <c r="B84" s="220">
        <f>B76+B83</f>
        <v>0</v>
      </c>
      <c r="C84" s="70"/>
      <c r="D84" s="56"/>
      <c r="E84" s="21"/>
    </row>
    <row r="85" spans="1:10" outlineLevel="1" x14ac:dyDescent="0.2">
      <c r="A85" s="210"/>
      <c r="B85" s="66"/>
      <c r="C85" s="56"/>
      <c r="D85" s="56"/>
      <c r="E85" s="21"/>
    </row>
    <row r="86" spans="1:10" outlineLevel="1" x14ac:dyDescent="0.2">
      <c r="A86" s="215" t="s">
        <v>134</v>
      </c>
      <c r="B86" s="221" t="e">
        <f>PAI*0.5</f>
        <v>#N/A</v>
      </c>
      <c r="C86" s="56"/>
      <c r="D86" s="56"/>
      <c r="E86" s="21" t="s">
        <v>22</v>
      </c>
    </row>
    <row r="87" spans="1:10" outlineLevel="1" x14ac:dyDescent="0.2">
      <c r="A87" s="210" t="s">
        <v>33</v>
      </c>
      <c r="B87" s="62" t="e">
        <f>IF((B84-B86&lt;0), 0, B84-B86)</f>
        <v>#N/A</v>
      </c>
      <c r="C87" s="56"/>
      <c r="D87" s="56"/>
      <c r="E87" s="21"/>
    </row>
    <row r="88" spans="1:10" ht="13.5" outlineLevel="1" thickBot="1" x14ac:dyDescent="0.25">
      <c r="A88" s="210" t="s">
        <v>34</v>
      </c>
      <c r="B88" s="66">
        <f>shelter_cap</f>
        <v>478</v>
      </c>
      <c r="C88" s="56"/>
      <c r="D88" s="56"/>
      <c r="E88" s="21" t="s">
        <v>22</v>
      </c>
    </row>
    <row r="89" spans="1:10" s="151" customFormat="1" outlineLevel="1" x14ac:dyDescent="0.2">
      <c r="A89" s="200" t="s">
        <v>144</v>
      </c>
      <c r="B89" s="110" t="e">
        <f>IF(Household_SSI="y", B87, MIN(B87,B88))</f>
        <v>#N/A</v>
      </c>
      <c r="C89" s="22"/>
      <c r="D89" s="22"/>
      <c r="E89" s="38"/>
      <c r="J89" s="147"/>
    </row>
    <row r="90" spans="1:10" outlineLevel="1" x14ac:dyDescent="0.2">
      <c r="A90" s="175"/>
      <c r="B90" s="66"/>
      <c r="C90" s="56"/>
      <c r="D90" s="56"/>
      <c r="E90" s="21"/>
      <c r="J90" s="157"/>
    </row>
    <row r="91" spans="1:10" outlineLevel="1" x14ac:dyDescent="0.2">
      <c r="A91" s="175" t="str">
        <f>IF(B69="y","Homeless Deduction"," ")</f>
        <v xml:space="preserve"> </v>
      </c>
      <c r="B91" s="66" t="str">
        <f>IF(B69="y", homeless_deduct, " ")</f>
        <v xml:space="preserve"> </v>
      </c>
      <c r="C91" s="56"/>
      <c r="D91" s="56"/>
      <c r="E91" s="21"/>
      <c r="J91" s="157"/>
    </row>
    <row r="92" spans="1:10" s="151" customFormat="1" outlineLevel="1" x14ac:dyDescent="0.2">
      <c r="A92" s="200" t="s">
        <v>182</v>
      </c>
      <c r="B92" s="161" t="str">
        <f>IF(B69="y",B91,"$0.0")</f>
        <v>$0.0</v>
      </c>
      <c r="C92" s="22"/>
      <c r="D92" s="22"/>
      <c r="E92" s="38"/>
      <c r="J92" s="147"/>
    </row>
    <row r="93" spans="1:10" ht="13.5" outlineLevel="1" thickBot="1" x14ac:dyDescent="0.25">
      <c r="A93" s="175"/>
      <c r="B93" s="70"/>
      <c r="C93" s="56"/>
      <c r="D93" s="56"/>
      <c r="E93" s="21"/>
      <c r="J93" s="157"/>
    </row>
    <row r="94" spans="1:10" outlineLevel="1" x14ac:dyDescent="0.2">
      <c r="A94" s="199" t="s">
        <v>145</v>
      </c>
      <c r="B94" s="138"/>
      <c r="C94" s="135"/>
      <c r="D94" s="135"/>
      <c r="E94" s="21" t="s">
        <v>43</v>
      </c>
    </row>
    <row r="95" spans="1:10" outlineLevel="1" x14ac:dyDescent="0.2">
      <c r="A95" s="222" t="s">
        <v>48</v>
      </c>
      <c r="B95" s="62">
        <f>Earned_Income</f>
        <v>0</v>
      </c>
      <c r="C95" s="56"/>
      <c r="D95" s="56"/>
      <c r="E95" s="21" t="s">
        <v>44</v>
      </c>
    </row>
    <row r="96" spans="1:10" outlineLevel="1" x14ac:dyDescent="0.2">
      <c r="A96" s="223" t="s">
        <v>26</v>
      </c>
      <c r="B96" s="62">
        <f>-STEP4</f>
        <v>0</v>
      </c>
      <c r="C96" s="56"/>
      <c r="D96" s="56"/>
      <c r="E96" s="21" t="s">
        <v>45</v>
      </c>
    </row>
    <row r="97" spans="1:10" outlineLevel="1" x14ac:dyDescent="0.2">
      <c r="A97" s="222" t="s">
        <v>49</v>
      </c>
      <c r="B97" s="62">
        <f>Unearned_Income</f>
        <v>0</v>
      </c>
      <c r="C97" s="56"/>
      <c r="D97" s="56"/>
      <c r="E97" s="21" t="s">
        <v>46</v>
      </c>
    </row>
    <row r="98" spans="1:10" outlineLevel="1" x14ac:dyDescent="0.2">
      <c r="A98" s="223" t="s">
        <v>50</v>
      </c>
      <c r="B98" s="62" t="e">
        <f>-STEP3</f>
        <v>#N/A</v>
      </c>
      <c r="C98" s="56"/>
      <c r="D98" s="56"/>
      <c r="E98" s="21" t="s">
        <v>47</v>
      </c>
    </row>
    <row r="99" spans="1:10" outlineLevel="1" x14ac:dyDescent="0.2">
      <c r="A99" s="224" t="s">
        <v>53</v>
      </c>
      <c r="B99" s="132">
        <f>-STEP5</f>
        <v>0</v>
      </c>
      <c r="C99" s="56"/>
      <c r="D99" s="56"/>
      <c r="E99" s="21" t="s">
        <v>133</v>
      </c>
    </row>
    <row r="100" spans="1:10" outlineLevel="1" x14ac:dyDescent="0.2">
      <c r="A100" s="224" t="s">
        <v>108</v>
      </c>
      <c r="B100" s="62">
        <f>-STEP6</f>
        <v>0</v>
      </c>
      <c r="C100" s="56"/>
      <c r="D100" s="56"/>
      <c r="E100" s="21"/>
    </row>
    <row r="101" spans="1:10" outlineLevel="1" x14ac:dyDescent="0.2">
      <c r="A101" s="223" t="s">
        <v>52</v>
      </c>
      <c r="B101" s="62">
        <f>-STEP8</f>
        <v>0</v>
      </c>
      <c r="C101" s="56"/>
      <c r="D101" s="56"/>
      <c r="E101" s="21" t="s">
        <v>51</v>
      </c>
    </row>
    <row r="102" spans="1:10" outlineLevel="1" x14ac:dyDescent="0.2">
      <c r="A102" s="223" t="s">
        <v>62</v>
      </c>
      <c r="B102" s="62">
        <f>-STEP9</f>
        <v>0</v>
      </c>
      <c r="C102" s="56"/>
      <c r="D102" s="56"/>
      <c r="E102" s="21" t="s">
        <v>54</v>
      </c>
    </row>
    <row r="103" spans="1:10" ht="13.5" outlineLevel="1" thickBot="1" x14ac:dyDescent="0.25">
      <c r="A103" s="223" t="s">
        <v>56</v>
      </c>
      <c r="B103" s="62" t="e">
        <f>-STEP7</f>
        <v>#N/A</v>
      </c>
      <c r="C103" s="56"/>
      <c r="D103" s="56"/>
      <c r="E103" s="21" t="s">
        <v>55</v>
      </c>
    </row>
    <row r="104" spans="1:10" s="151" customFormat="1" outlineLevel="1" x14ac:dyDescent="0.2">
      <c r="A104" s="225" t="s">
        <v>159</v>
      </c>
      <c r="B104" s="110" t="e">
        <f>SUM(B95:B103)</f>
        <v>#N/A</v>
      </c>
      <c r="C104" s="22"/>
      <c r="D104" s="22"/>
      <c r="E104" s="38"/>
      <c r="J104" s="147"/>
    </row>
    <row r="105" spans="1:10" s="151" customFormat="1" outlineLevel="1" x14ac:dyDescent="0.2">
      <c r="A105" s="209" t="s">
        <v>64</v>
      </c>
      <c r="B105" s="76" t="e">
        <f>IF(Cat_Eligible="yes", "No limit", IF(HH_SIZE&lt;=8, LOOKUP(HH_SIZE,Ref_Tables!A59:B66), incomenet_max8+((HH_SIZE-8)*incomenet_max_over8)))</f>
        <v>#N/A</v>
      </c>
      <c r="C105" s="64"/>
      <c r="D105" s="67"/>
      <c r="E105" s="238" t="s">
        <v>65</v>
      </c>
      <c r="J105" s="157"/>
    </row>
    <row r="106" spans="1:10" s="151" customFormat="1" ht="13.5" outlineLevel="1" thickBot="1" x14ac:dyDescent="0.25">
      <c r="A106" s="226"/>
      <c r="B106" s="77"/>
      <c r="C106" s="64"/>
      <c r="D106" s="67"/>
      <c r="E106" s="238"/>
      <c r="J106" s="157"/>
    </row>
    <row r="107" spans="1:10" s="103" customFormat="1" ht="17.25" thickTop="1" thickBot="1" x14ac:dyDescent="0.3">
      <c r="A107" s="227" t="s">
        <v>146</v>
      </c>
      <c r="B107" s="195" t="e">
        <f>IF(STEP10&lt;B105, "PASSED", "FAILED")</f>
        <v>#N/A</v>
      </c>
      <c r="C107" s="139" t="e">
        <f>IF(B107="FAILED", "STOP; do not continue", "")</f>
        <v>#N/A</v>
      </c>
      <c r="D107" s="140"/>
      <c r="E107" s="40"/>
      <c r="J107" s="157"/>
    </row>
    <row r="108" spans="1:10" ht="16.5" thickTop="1" x14ac:dyDescent="0.25">
      <c r="A108" s="205"/>
      <c r="B108" s="66"/>
      <c r="C108" s="56"/>
      <c r="D108" s="56"/>
      <c r="E108" s="21"/>
      <c r="J108" s="156"/>
    </row>
    <row r="109" spans="1:10" s="146" customFormat="1" ht="16.5" thickBot="1" x14ac:dyDescent="0.3">
      <c r="A109" s="168" t="s">
        <v>161</v>
      </c>
      <c r="B109" s="169"/>
      <c r="C109" s="169"/>
      <c r="D109" s="169"/>
      <c r="E109" s="87"/>
      <c r="J109" s="147"/>
    </row>
    <row r="110" spans="1:10" s="152" customFormat="1" ht="15.75" x14ac:dyDescent="0.25">
      <c r="A110" s="228" t="s">
        <v>160</v>
      </c>
      <c r="B110" s="228"/>
      <c r="C110" s="228"/>
      <c r="D110" s="228"/>
      <c r="E110" s="89"/>
      <c r="J110" s="153"/>
    </row>
    <row r="111" spans="1:10" x14ac:dyDescent="0.2">
      <c r="A111" s="205" t="str">
        <f>TEXT(netincome_percent,"0%") &amp; " of Net Income"</f>
        <v>30% of Net Income</v>
      </c>
      <c r="B111" s="79" t="e">
        <f>STEP10*netincome_percent</f>
        <v>#N/A</v>
      </c>
      <c r="C111" s="56"/>
      <c r="D111" s="56"/>
      <c r="E111" s="21"/>
      <c r="J111" s="158"/>
    </row>
    <row r="112" spans="1:10" s="151" customFormat="1" x14ac:dyDescent="0.2">
      <c r="A112" s="229" t="s">
        <v>147</v>
      </c>
      <c r="B112" s="24" t="e">
        <f>IF(B111&gt;0, B111, 0)</f>
        <v>#N/A</v>
      </c>
      <c r="C112" s="22"/>
      <c r="D112" s="22"/>
      <c r="E112" s="38"/>
      <c r="J112" s="147"/>
    </row>
    <row r="113" spans="1:10" ht="13.5" thickBot="1" x14ac:dyDescent="0.25">
      <c r="A113" s="166"/>
      <c r="B113" s="56"/>
      <c r="C113" s="56"/>
      <c r="D113" s="56"/>
      <c r="E113" s="21"/>
      <c r="J113" s="157"/>
    </row>
    <row r="114" spans="1:10" x14ac:dyDescent="0.2">
      <c r="A114" s="230" t="s">
        <v>162</v>
      </c>
      <c r="B114" s="135"/>
      <c r="C114" s="135"/>
      <c r="D114" s="135"/>
      <c r="E114" s="21"/>
    </row>
    <row r="115" spans="1:10" x14ac:dyDescent="0.2">
      <c r="A115" s="166" t="s">
        <v>198</v>
      </c>
      <c r="B115" s="70" t="e">
        <f>IF(HH_SIZE&lt;=8, LOOKUP(HH_SIZE, Ref_Tables!A72:B79), max_fs_household8+((HH_SIZE-8)*max_fs_household_add))</f>
        <v>#N/A</v>
      </c>
      <c r="C115" s="56"/>
      <c r="D115" s="56"/>
      <c r="E115" s="21" t="s">
        <v>67</v>
      </c>
    </row>
    <row r="116" spans="1:10" x14ac:dyDescent="0.2">
      <c r="A116" s="56" t="s">
        <v>148</v>
      </c>
      <c r="B116" s="80" t="e">
        <f>-STEP11</f>
        <v>#N/A</v>
      </c>
      <c r="C116" s="56"/>
      <c r="D116" s="56"/>
      <c r="E116" s="21"/>
    </row>
    <row r="117" spans="1:10" ht="13.5" thickBot="1" x14ac:dyDescent="0.25">
      <c r="A117" s="56"/>
      <c r="B117" s="80"/>
      <c r="C117" s="56"/>
      <c r="D117" s="56"/>
      <c r="E117" s="21"/>
    </row>
    <row r="118" spans="1:10" ht="17.25" thickTop="1" thickBot="1" x14ac:dyDescent="0.3">
      <c r="A118" s="194" t="s">
        <v>149</v>
      </c>
      <c r="B118" s="141" t="e">
        <f>IF(AND(B41="PASSED", B107="PASSED"),IF((B115+B116)&lt;=minimum_grant_hh_size_amount,(IF(HH_SIZE&lt;=minimum_grant_hh_size, minimum_grant_hh_size_amount, 0)),B115+B116), 0)</f>
        <v>#N/A</v>
      </c>
      <c r="C118" s="140"/>
      <c r="D118" s="140"/>
      <c r="E118" s="21"/>
    </row>
    <row r="119" spans="1:10" ht="30.75" customHeight="1" thickTop="1" x14ac:dyDescent="0.2">
      <c r="A119" s="263" t="s">
        <v>197</v>
      </c>
      <c r="B119" s="260"/>
      <c r="C119" s="260"/>
      <c r="D119" s="260"/>
      <c r="E119" s="21"/>
    </row>
    <row r="120" spans="1:10" ht="15.75" x14ac:dyDescent="0.25">
      <c r="A120" s="231"/>
      <c r="B120" s="101"/>
      <c r="C120" s="102"/>
      <c r="D120" s="102"/>
      <c r="E120" s="21"/>
    </row>
    <row r="121" spans="1:10" ht="30.75" x14ac:dyDescent="0.25">
      <c r="A121" s="232" t="s">
        <v>126</v>
      </c>
      <c r="B121" s="142">
        <f>'Bay State CAP'!B16</f>
        <v>0</v>
      </c>
      <c r="C121" s="99"/>
      <c r="D121" s="99"/>
      <c r="E121" s="21"/>
    </row>
    <row r="122" spans="1:10" ht="15.75" x14ac:dyDescent="0.25">
      <c r="A122" s="233"/>
      <c r="B122" s="101"/>
      <c r="C122" s="102"/>
      <c r="D122" s="102"/>
      <c r="E122" s="115"/>
    </row>
    <row r="123" spans="1:10" ht="13.5" thickBot="1" x14ac:dyDescent="0.25">
      <c r="A123" s="234"/>
      <c r="B123" s="235"/>
      <c r="C123" s="235"/>
      <c r="D123" s="127"/>
      <c r="E123" s="115"/>
    </row>
    <row r="124" spans="1:10" ht="17.25" thickTop="1" thickBot="1" x14ac:dyDescent="0.3">
      <c r="A124" s="251" t="s">
        <v>85</v>
      </c>
      <c r="B124" s="252"/>
      <c r="C124" s="253"/>
      <c r="D124" s="235"/>
      <c r="E124" s="109"/>
    </row>
    <row r="125" spans="1:10" ht="13.5" thickTop="1" x14ac:dyDescent="0.2">
      <c r="A125" s="234"/>
      <c r="B125" s="235"/>
      <c r="C125" s="235"/>
      <c r="D125" s="235"/>
      <c r="E125" s="109"/>
    </row>
    <row r="126" spans="1:10" x14ac:dyDescent="0.2">
      <c r="A126" s="234"/>
      <c r="B126" s="235"/>
      <c r="C126" s="235"/>
      <c r="D126" s="235"/>
      <c r="E126" s="109"/>
    </row>
    <row r="127" spans="1:10" x14ac:dyDescent="0.2">
      <c r="A127" s="234"/>
      <c r="B127" s="235"/>
      <c r="C127" s="235"/>
      <c r="D127" s="235"/>
      <c r="E127" s="109"/>
    </row>
    <row r="128" spans="1:10" x14ac:dyDescent="0.2">
      <c r="A128" s="234"/>
      <c r="B128" s="235"/>
      <c r="C128" s="235"/>
      <c r="D128" s="235"/>
      <c r="E128" s="109"/>
    </row>
    <row r="129" spans="1:5" x14ac:dyDescent="0.2">
      <c r="A129" s="234"/>
      <c r="B129" s="235"/>
      <c r="C129" s="235"/>
      <c r="D129" s="235"/>
      <c r="E129" s="109"/>
    </row>
    <row r="130" spans="1:5" x14ac:dyDescent="0.2">
      <c r="A130" s="234"/>
      <c r="B130" s="235"/>
      <c r="C130" s="235"/>
      <c r="D130" s="235"/>
      <c r="E130" s="109"/>
    </row>
    <row r="131" spans="1:5" x14ac:dyDescent="0.2">
      <c r="A131" s="234"/>
      <c r="B131" s="235"/>
      <c r="C131" s="235"/>
      <c r="D131" s="235"/>
      <c r="E131" s="109"/>
    </row>
    <row r="132" spans="1:5" x14ac:dyDescent="0.2">
      <c r="E132" s="109"/>
    </row>
    <row r="133" spans="1:5" x14ac:dyDescent="0.2">
      <c r="E133" s="109"/>
    </row>
    <row r="134" spans="1:5" x14ac:dyDescent="0.2">
      <c r="E134" s="109"/>
    </row>
    <row r="135" spans="1:5" x14ac:dyDescent="0.2">
      <c r="E135" s="109"/>
    </row>
    <row r="136" spans="1:5" x14ac:dyDescent="0.2">
      <c r="E136" s="109"/>
    </row>
    <row r="137" spans="1:5" x14ac:dyDescent="0.2">
      <c r="E137" s="109"/>
    </row>
    <row r="138" spans="1:5" x14ac:dyDescent="0.2">
      <c r="E138" s="109"/>
    </row>
    <row r="139" spans="1:5" x14ac:dyDescent="0.2">
      <c r="E139" s="109"/>
    </row>
    <row r="140" spans="1:5" x14ac:dyDescent="0.2">
      <c r="E140" s="109"/>
    </row>
    <row r="141" spans="1:5" x14ac:dyDescent="0.2">
      <c r="E141" s="109"/>
    </row>
    <row r="142" spans="1:5" x14ac:dyDescent="0.2">
      <c r="E142" s="109"/>
    </row>
    <row r="143" spans="1:5" x14ac:dyDescent="0.2">
      <c r="E143" s="109"/>
    </row>
    <row r="144" spans="1:5" x14ac:dyDescent="0.2">
      <c r="E144" s="109"/>
    </row>
    <row r="145" spans="5:5" x14ac:dyDescent="0.2">
      <c r="E145" s="109"/>
    </row>
    <row r="146" spans="5:5" x14ac:dyDescent="0.2">
      <c r="E146" s="109"/>
    </row>
    <row r="147" spans="5:5" x14ac:dyDescent="0.2">
      <c r="E147" s="109"/>
    </row>
    <row r="148" spans="5:5" x14ac:dyDescent="0.2">
      <c r="E148" s="109"/>
    </row>
    <row r="149" spans="5:5" x14ac:dyDescent="0.2">
      <c r="E149" s="109"/>
    </row>
    <row r="150" spans="5:5" x14ac:dyDescent="0.2">
      <c r="E150" s="109"/>
    </row>
    <row r="151" spans="5:5" x14ac:dyDescent="0.2">
      <c r="E151" s="109"/>
    </row>
    <row r="152" spans="5:5" x14ac:dyDescent="0.2">
      <c r="E152" s="109"/>
    </row>
    <row r="153" spans="5:5" x14ac:dyDescent="0.2">
      <c r="E153" s="109"/>
    </row>
    <row r="154" spans="5:5" x14ac:dyDescent="0.2">
      <c r="E154" s="109"/>
    </row>
    <row r="155" spans="5:5" x14ac:dyDescent="0.2">
      <c r="E155" s="109"/>
    </row>
    <row r="156" spans="5:5" x14ac:dyDescent="0.2">
      <c r="E156" s="109"/>
    </row>
    <row r="157" spans="5:5" x14ac:dyDescent="0.2">
      <c r="E157" s="109"/>
    </row>
    <row r="158" spans="5:5" x14ac:dyDescent="0.2">
      <c r="E158" s="109"/>
    </row>
    <row r="159" spans="5:5" x14ac:dyDescent="0.2">
      <c r="E159" s="109"/>
    </row>
    <row r="160" spans="5:5" x14ac:dyDescent="0.2">
      <c r="E160" s="109"/>
    </row>
    <row r="161" spans="5:5" x14ac:dyDescent="0.2">
      <c r="E161" s="109"/>
    </row>
    <row r="162" spans="5:5" x14ac:dyDescent="0.2">
      <c r="E162" s="109"/>
    </row>
    <row r="163" spans="5:5" x14ac:dyDescent="0.2">
      <c r="E163" s="109"/>
    </row>
    <row r="164" spans="5:5" x14ac:dyDescent="0.2">
      <c r="E164" s="109"/>
    </row>
    <row r="165" spans="5:5" x14ac:dyDescent="0.2">
      <c r="E165" s="109"/>
    </row>
    <row r="166" spans="5:5" x14ac:dyDescent="0.2">
      <c r="E166" s="109"/>
    </row>
    <row r="167" spans="5:5" x14ac:dyDescent="0.2">
      <c r="E167" s="109"/>
    </row>
    <row r="168" spans="5:5" x14ac:dyDescent="0.2">
      <c r="E168" s="109"/>
    </row>
    <row r="169" spans="5:5" x14ac:dyDescent="0.2">
      <c r="E169" s="109"/>
    </row>
    <row r="170" spans="5:5" x14ac:dyDescent="0.2">
      <c r="E170" s="109"/>
    </row>
    <row r="171" spans="5:5" x14ac:dyDescent="0.2">
      <c r="E171" s="109"/>
    </row>
    <row r="172" spans="5:5" x14ac:dyDescent="0.2">
      <c r="E172" s="109"/>
    </row>
    <row r="173" spans="5:5" x14ac:dyDescent="0.2">
      <c r="E173" s="109"/>
    </row>
    <row r="174" spans="5:5" x14ac:dyDescent="0.2">
      <c r="E174" s="109"/>
    </row>
    <row r="175" spans="5:5" x14ac:dyDescent="0.2">
      <c r="E175" s="109"/>
    </row>
    <row r="176" spans="5:5" x14ac:dyDescent="0.2">
      <c r="E176" s="109"/>
    </row>
    <row r="177" spans="5:5" x14ac:dyDescent="0.2">
      <c r="E177" s="109"/>
    </row>
    <row r="178" spans="5:5" x14ac:dyDescent="0.2">
      <c r="E178" s="109"/>
    </row>
    <row r="179" spans="5:5" x14ac:dyDescent="0.2">
      <c r="E179" s="109"/>
    </row>
    <row r="180" spans="5:5" x14ac:dyDescent="0.2">
      <c r="E180" s="109"/>
    </row>
    <row r="181" spans="5:5" x14ac:dyDescent="0.2">
      <c r="E181" s="109"/>
    </row>
    <row r="182" spans="5:5" x14ac:dyDescent="0.2">
      <c r="E182" s="109"/>
    </row>
    <row r="183" spans="5:5" x14ac:dyDescent="0.2">
      <c r="E183" s="109"/>
    </row>
    <row r="184" spans="5:5" x14ac:dyDescent="0.2">
      <c r="E184" s="109"/>
    </row>
    <row r="185" spans="5:5" x14ac:dyDescent="0.2">
      <c r="E185" s="109"/>
    </row>
    <row r="186" spans="5:5" x14ac:dyDescent="0.2">
      <c r="E186" s="109"/>
    </row>
    <row r="187" spans="5:5" x14ac:dyDescent="0.2">
      <c r="E187" s="109"/>
    </row>
    <row r="188" spans="5:5" x14ac:dyDescent="0.2">
      <c r="E188" s="109"/>
    </row>
    <row r="189" spans="5:5" x14ac:dyDescent="0.2">
      <c r="E189" s="109"/>
    </row>
    <row r="190" spans="5:5" x14ac:dyDescent="0.2">
      <c r="E190" s="109"/>
    </row>
    <row r="191" spans="5:5" x14ac:dyDescent="0.2">
      <c r="E191" s="109"/>
    </row>
    <row r="192" spans="5:5" x14ac:dyDescent="0.2">
      <c r="E192" s="109"/>
    </row>
    <row r="193" spans="5:5" x14ac:dyDescent="0.2">
      <c r="E193" s="109"/>
    </row>
    <row r="194" spans="5:5" x14ac:dyDescent="0.2">
      <c r="E194" s="109"/>
    </row>
    <row r="195" spans="5:5" x14ac:dyDescent="0.2">
      <c r="E195" s="109"/>
    </row>
    <row r="196" spans="5:5" x14ac:dyDescent="0.2">
      <c r="E196" s="109"/>
    </row>
    <row r="197" spans="5:5" x14ac:dyDescent="0.2">
      <c r="E197" s="109"/>
    </row>
    <row r="198" spans="5:5" x14ac:dyDescent="0.2">
      <c r="E198" s="109"/>
    </row>
    <row r="199" spans="5:5" x14ac:dyDescent="0.2">
      <c r="E199" s="109"/>
    </row>
    <row r="200" spans="5:5" x14ac:dyDescent="0.2">
      <c r="E200" s="109"/>
    </row>
    <row r="201" spans="5:5" x14ac:dyDescent="0.2">
      <c r="E201" s="109"/>
    </row>
    <row r="202" spans="5:5" x14ac:dyDescent="0.2">
      <c r="E202" s="109"/>
    </row>
    <row r="203" spans="5:5" x14ac:dyDescent="0.2">
      <c r="E203" s="109"/>
    </row>
    <row r="204" spans="5:5" x14ac:dyDescent="0.2">
      <c r="E204" s="109"/>
    </row>
    <row r="205" spans="5:5" x14ac:dyDescent="0.2">
      <c r="E205" s="109"/>
    </row>
    <row r="206" spans="5:5" x14ac:dyDescent="0.2">
      <c r="E206" s="109"/>
    </row>
    <row r="207" spans="5:5" x14ac:dyDescent="0.2">
      <c r="E207" s="109"/>
    </row>
    <row r="208" spans="5:5" x14ac:dyDescent="0.2">
      <c r="E208" s="109"/>
    </row>
    <row r="209" spans="5:5" x14ac:dyDescent="0.2">
      <c r="E209" s="109"/>
    </row>
    <row r="210" spans="5:5" x14ac:dyDescent="0.2">
      <c r="E210" s="109"/>
    </row>
    <row r="211" spans="5:5" x14ac:dyDescent="0.2">
      <c r="E211" s="109"/>
    </row>
    <row r="212" spans="5:5" x14ac:dyDescent="0.2">
      <c r="E212" s="109"/>
    </row>
    <row r="213" spans="5:5" x14ac:dyDescent="0.2">
      <c r="E213" s="109"/>
    </row>
    <row r="214" spans="5:5" x14ac:dyDescent="0.2">
      <c r="E214" s="109"/>
    </row>
    <row r="215" spans="5:5" x14ac:dyDescent="0.2">
      <c r="E215" s="109"/>
    </row>
    <row r="216" spans="5:5" x14ac:dyDescent="0.2">
      <c r="E216" s="109"/>
    </row>
    <row r="217" spans="5:5" x14ac:dyDescent="0.2">
      <c r="E217" s="109"/>
    </row>
    <row r="218" spans="5:5" x14ac:dyDescent="0.2">
      <c r="E218" s="109"/>
    </row>
    <row r="219" spans="5:5" x14ac:dyDescent="0.2">
      <c r="E219" s="109"/>
    </row>
    <row r="220" spans="5:5" x14ac:dyDescent="0.2">
      <c r="E220" s="109"/>
    </row>
    <row r="221" spans="5:5" x14ac:dyDescent="0.2">
      <c r="E221" s="109"/>
    </row>
    <row r="222" spans="5:5" x14ac:dyDescent="0.2">
      <c r="E222" s="109"/>
    </row>
    <row r="223" spans="5:5" x14ac:dyDescent="0.2">
      <c r="E223" s="109"/>
    </row>
    <row r="224" spans="5:5" x14ac:dyDescent="0.2">
      <c r="E224" s="109"/>
    </row>
    <row r="225" spans="5:5" x14ac:dyDescent="0.2">
      <c r="E225" s="109"/>
    </row>
    <row r="226" spans="5:5" x14ac:dyDescent="0.2">
      <c r="E226" s="109"/>
    </row>
    <row r="227" spans="5:5" x14ac:dyDescent="0.2">
      <c r="E227" s="109"/>
    </row>
    <row r="228" spans="5:5" x14ac:dyDescent="0.2">
      <c r="E228" s="109"/>
    </row>
    <row r="229" spans="5:5" x14ac:dyDescent="0.2">
      <c r="E229" s="109"/>
    </row>
    <row r="230" spans="5:5" x14ac:dyDescent="0.2">
      <c r="E230" s="109"/>
    </row>
    <row r="231" spans="5:5" x14ac:dyDescent="0.2">
      <c r="E231" s="109"/>
    </row>
    <row r="232" spans="5:5" x14ac:dyDescent="0.2">
      <c r="E232" s="109"/>
    </row>
    <row r="233" spans="5:5" x14ac:dyDescent="0.2">
      <c r="E233" s="109"/>
    </row>
    <row r="234" spans="5:5" x14ac:dyDescent="0.2">
      <c r="E234" s="109"/>
    </row>
    <row r="235" spans="5:5" x14ac:dyDescent="0.2">
      <c r="E235" s="109"/>
    </row>
    <row r="236" spans="5:5" x14ac:dyDescent="0.2">
      <c r="E236" s="109"/>
    </row>
    <row r="237" spans="5:5" x14ac:dyDescent="0.2">
      <c r="E237" s="109"/>
    </row>
    <row r="238" spans="5:5" x14ac:dyDescent="0.2">
      <c r="E238" s="109"/>
    </row>
    <row r="239" spans="5:5" x14ac:dyDescent="0.2">
      <c r="E239" s="109"/>
    </row>
    <row r="240" spans="5:5" x14ac:dyDescent="0.2">
      <c r="E240" s="109"/>
    </row>
    <row r="241" spans="5:5" x14ac:dyDescent="0.2">
      <c r="E241" s="109"/>
    </row>
    <row r="242" spans="5:5" x14ac:dyDescent="0.2">
      <c r="E242" s="109"/>
    </row>
    <row r="243" spans="5:5" x14ac:dyDescent="0.2">
      <c r="E243" s="109"/>
    </row>
    <row r="244" spans="5:5" x14ac:dyDescent="0.2">
      <c r="E244" s="109"/>
    </row>
    <row r="245" spans="5:5" x14ac:dyDescent="0.2">
      <c r="E245" s="109"/>
    </row>
    <row r="246" spans="5:5" x14ac:dyDescent="0.2">
      <c r="E246" s="109"/>
    </row>
    <row r="247" spans="5:5" x14ac:dyDescent="0.2">
      <c r="E247" s="109"/>
    </row>
    <row r="248" spans="5:5" x14ac:dyDescent="0.2">
      <c r="E248" s="109"/>
    </row>
    <row r="249" spans="5:5" x14ac:dyDescent="0.2">
      <c r="E249" s="109"/>
    </row>
    <row r="250" spans="5:5" x14ac:dyDescent="0.2">
      <c r="E250" s="109"/>
    </row>
    <row r="251" spans="5:5" x14ac:dyDescent="0.2">
      <c r="E251" s="109"/>
    </row>
    <row r="252" spans="5:5" x14ac:dyDescent="0.2">
      <c r="E252" s="109"/>
    </row>
    <row r="253" spans="5:5" x14ac:dyDescent="0.2">
      <c r="E253" s="109"/>
    </row>
    <row r="254" spans="5:5" x14ac:dyDescent="0.2">
      <c r="E254" s="109"/>
    </row>
    <row r="255" spans="5:5" x14ac:dyDescent="0.2">
      <c r="E255" s="109"/>
    </row>
    <row r="256" spans="5:5" x14ac:dyDescent="0.2">
      <c r="E256" s="109"/>
    </row>
    <row r="257" spans="5:5" x14ac:dyDescent="0.2">
      <c r="E257" s="109"/>
    </row>
    <row r="258" spans="5:5" x14ac:dyDescent="0.2">
      <c r="E258" s="109"/>
    </row>
    <row r="259" spans="5:5" x14ac:dyDescent="0.2">
      <c r="E259" s="109"/>
    </row>
    <row r="260" spans="5:5" x14ac:dyDescent="0.2">
      <c r="E260" s="109"/>
    </row>
    <row r="261" spans="5:5" x14ac:dyDescent="0.2">
      <c r="E261" s="109"/>
    </row>
    <row r="262" spans="5:5" x14ac:dyDescent="0.2">
      <c r="E262" s="109"/>
    </row>
    <row r="263" spans="5:5" x14ac:dyDescent="0.2">
      <c r="E263" s="109"/>
    </row>
    <row r="264" spans="5:5" x14ac:dyDescent="0.2">
      <c r="E264" s="109"/>
    </row>
    <row r="265" spans="5:5" x14ac:dyDescent="0.2">
      <c r="E265" s="109"/>
    </row>
    <row r="266" spans="5:5" x14ac:dyDescent="0.2">
      <c r="E266" s="109"/>
    </row>
    <row r="267" spans="5:5" x14ac:dyDescent="0.2">
      <c r="E267" s="109"/>
    </row>
    <row r="268" spans="5:5" x14ac:dyDescent="0.2">
      <c r="E268" s="109"/>
    </row>
    <row r="269" spans="5:5" x14ac:dyDescent="0.2">
      <c r="E269" s="109"/>
    </row>
    <row r="270" spans="5:5" x14ac:dyDescent="0.2">
      <c r="E270" s="109"/>
    </row>
    <row r="271" spans="5:5" x14ac:dyDescent="0.2">
      <c r="E271" s="109"/>
    </row>
    <row r="272" spans="5:5" x14ac:dyDescent="0.2">
      <c r="E272" s="109"/>
    </row>
    <row r="273" spans="5:5" x14ac:dyDescent="0.2">
      <c r="E273" s="109"/>
    </row>
    <row r="274" spans="5:5" x14ac:dyDescent="0.2">
      <c r="E274" s="109"/>
    </row>
    <row r="275" spans="5:5" x14ac:dyDescent="0.2">
      <c r="E275" s="109"/>
    </row>
    <row r="276" spans="5:5" x14ac:dyDescent="0.2">
      <c r="E276" s="109"/>
    </row>
    <row r="277" spans="5:5" x14ac:dyDescent="0.2">
      <c r="E277" s="109"/>
    </row>
    <row r="278" spans="5:5" x14ac:dyDescent="0.2">
      <c r="E278" s="109"/>
    </row>
    <row r="279" spans="5:5" x14ac:dyDescent="0.2">
      <c r="E279" s="109"/>
    </row>
    <row r="280" spans="5:5" x14ac:dyDescent="0.2">
      <c r="E280" s="109"/>
    </row>
    <row r="281" spans="5:5" x14ac:dyDescent="0.2">
      <c r="E281" s="109"/>
    </row>
    <row r="282" spans="5:5" x14ac:dyDescent="0.2">
      <c r="E282" s="109"/>
    </row>
    <row r="283" spans="5:5" x14ac:dyDescent="0.2">
      <c r="E283" s="109"/>
    </row>
    <row r="284" spans="5:5" x14ac:dyDescent="0.2">
      <c r="E284" s="109"/>
    </row>
    <row r="285" spans="5:5" x14ac:dyDescent="0.2">
      <c r="E285" s="109"/>
    </row>
    <row r="286" spans="5:5" x14ac:dyDescent="0.2">
      <c r="E286" s="109"/>
    </row>
    <row r="287" spans="5:5" x14ac:dyDescent="0.2">
      <c r="E287" s="109"/>
    </row>
    <row r="288" spans="5:5" x14ac:dyDescent="0.2">
      <c r="E288" s="109"/>
    </row>
    <row r="289" spans="5:5" x14ac:dyDescent="0.2">
      <c r="E289" s="109"/>
    </row>
    <row r="290" spans="5:5" x14ac:dyDescent="0.2">
      <c r="E290" s="109"/>
    </row>
    <row r="291" spans="5:5" x14ac:dyDescent="0.2">
      <c r="E291" s="109"/>
    </row>
    <row r="292" spans="5:5" x14ac:dyDescent="0.2">
      <c r="E292" s="109"/>
    </row>
    <row r="293" spans="5:5" x14ac:dyDescent="0.2">
      <c r="E293" s="109"/>
    </row>
    <row r="294" spans="5:5" x14ac:dyDescent="0.2">
      <c r="E294" s="109"/>
    </row>
    <row r="295" spans="5:5" x14ac:dyDescent="0.2">
      <c r="E295" s="109"/>
    </row>
    <row r="296" spans="5:5" x14ac:dyDescent="0.2">
      <c r="E296" s="109"/>
    </row>
    <row r="297" spans="5:5" x14ac:dyDescent="0.2">
      <c r="E297" s="109"/>
    </row>
    <row r="298" spans="5:5" x14ac:dyDescent="0.2">
      <c r="E298" s="109"/>
    </row>
    <row r="299" spans="5:5" x14ac:dyDescent="0.2">
      <c r="E299" s="109"/>
    </row>
    <row r="300" spans="5:5" x14ac:dyDescent="0.2">
      <c r="E300" s="109"/>
    </row>
    <row r="301" spans="5:5" x14ac:dyDescent="0.2">
      <c r="E301" s="109"/>
    </row>
    <row r="302" spans="5:5" x14ac:dyDescent="0.2">
      <c r="E302" s="109"/>
    </row>
    <row r="303" spans="5:5" x14ac:dyDescent="0.2">
      <c r="E303" s="109"/>
    </row>
    <row r="304" spans="5:5" x14ac:dyDescent="0.2">
      <c r="E304" s="109"/>
    </row>
    <row r="305" spans="5:5" x14ac:dyDescent="0.2">
      <c r="E305" s="109"/>
    </row>
    <row r="306" spans="5:5" x14ac:dyDescent="0.2">
      <c r="E306" s="109"/>
    </row>
    <row r="307" spans="5:5" x14ac:dyDescent="0.2">
      <c r="E307" s="109"/>
    </row>
    <row r="308" spans="5:5" x14ac:dyDescent="0.2">
      <c r="E308" s="109"/>
    </row>
    <row r="309" spans="5:5" x14ac:dyDescent="0.2">
      <c r="E309" s="109"/>
    </row>
    <row r="310" spans="5:5" x14ac:dyDescent="0.2">
      <c r="E310" s="109"/>
    </row>
    <row r="311" spans="5:5" x14ac:dyDescent="0.2">
      <c r="E311" s="109"/>
    </row>
    <row r="312" spans="5:5" x14ac:dyDescent="0.2">
      <c r="E312" s="109"/>
    </row>
    <row r="313" spans="5:5" x14ac:dyDescent="0.2">
      <c r="E313" s="109"/>
    </row>
    <row r="314" spans="5:5" x14ac:dyDescent="0.2">
      <c r="E314" s="109"/>
    </row>
    <row r="315" spans="5:5" x14ac:dyDescent="0.2">
      <c r="E315" s="109"/>
    </row>
    <row r="316" spans="5:5" x14ac:dyDescent="0.2">
      <c r="E316" s="109"/>
    </row>
    <row r="317" spans="5:5" x14ac:dyDescent="0.2">
      <c r="E317" s="109"/>
    </row>
    <row r="318" spans="5:5" x14ac:dyDescent="0.2">
      <c r="E318" s="109"/>
    </row>
    <row r="319" spans="5:5" x14ac:dyDescent="0.2">
      <c r="E319" s="109"/>
    </row>
    <row r="320" spans="5:5" x14ac:dyDescent="0.2">
      <c r="E320" s="109"/>
    </row>
    <row r="321" spans="5:5" x14ac:dyDescent="0.2">
      <c r="E321" s="109"/>
    </row>
    <row r="322" spans="5:5" x14ac:dyDescent="0.2">
      <c r="E322" s="109"/>
    </row>
    <row r="323" spans="5:5" x14ac:dyDescent="0.2">
      <c r="E323" s="109"/>
    </row>
    <row r="324" spans="5:5" x14ac:dyDescent="0.2">
      <c r="E324" s="109"/>
    </row>
    <row r="325" spans="5:5" x14ac:dyDescent="0.2">
      <c r="E325" s="109"/>
    </row>
    <row r="326" spans="5:5" x14ac:dyDescent="0.2">
      <c r="E326" s="109"/>
    </row>
  </sheetData>
  <sheetProtection sheet="1" objects="1" scenarios="1" selectLockedCells="1"/>
  <mergeCells count="16">
    <mergeCell ref="A124:C124"/>
    <mergeCell ref="B11:D11"/>
    <mergeCell ref="B10:D10"/>
    <mergeCell ref="B55:C55"/>
    <mergeCell ref="A53:B53"/>
    <mergeCell ref="C50:D50"/>
    <mergeCell ref="A119:D119"/>
    <mergeCell ref="E105:E106"/>
    <mergeCell ref="A1:D1"/>
    <mergeCell ref="A3:D3"/>
    <mergeCell ref="A5:D5"/>
    <mergeCell ref="B9:D9"/>
    <mergeCell ref="A4:D4"/>
    <mergeCell ref="D56:D59"/>
    <mergeCell ref="C51:D53"/>
    <mergeCell ref="A6:D7"/>
  </mergeCells>
  <phoneticPr fontId="0" type="noConversion"/>
  <dataValidations xWindow="546" yWindow="258" count="2">
    <dataValidation type="list" allowBlank="1" showInputMessage="1" showErrorMessage="1" sqref="B78:B80 B18">
      <formula1>"y,n"</formula1>
    </dataValidation>
    <dataValidation type="list" allowBlank="1" showInputMessage="1" showErrorMessage="1" prompt="Enter a lower case y for yes, or a lower case n for no." sqref="B15 B16 B17 B69">
      <formula1>"y,n"</formula1>
    </dataValidation>
  </dataValidations>
  <hyperlinks>
    <hyperlink ref="A124"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1" sqref="B21"/>
    </sheetView>
  </sheetViews>
  <sheetFormatPr defaultRowHeight="12.75" x14ac:dyDescent="0.2"/>
  <cols>
    <col min="1" max="1" width="48.42578125" bestFit="1" customWidth="1"/>
    <col min="2" max="2" width="15.85546875" customWidth="1"/>
  </cols>
  <sheetData>
    <row r="1" spans="1:2" s="88" customFormat="1" ht="16.5" thickBot="1" x14ac:dyDescent="0.3">
      <c r="A1" s="95" t="s">
        <v>116</v>
      </c>
    </row>
    <row r="2" spans="1:2" x14ac:dyDescent="0.2">
      <c r="A2" t="s">
        <v>110</v>
      </c>
      <c r="B2">
        <f>Household_SSI</f>
        <v>0</v>
      </c>
    </row>
    <row r="3" spans="1:2" x14ac:dyDescent="0.2">
      <c r="A3" t="s">
        <v>111</v>
      </c>
      <c r="B3" t="str">
        <f>IF(Earned_Income=0,"y","n")</f>
        <v>y</v>
      </c>
    </row>
    <row r="4" spans="1:2" x14ac:dyDescent="0.2">
      <c r="A4" t="s">
        <v>112</v>
      </c>
      <c r="B4" t="str">
        <f>IF(HH_SIZE=1,"y","n")</f>
        <v>n</v>
      </c>
    </row>
    <row r="5" spans="1:2" s="91" customFormat="1" ht="25.5" customHeight="1" x14ac:dyDescent="0.2">
      <c r="A5" s="91" t="s">
        <v>113</v>
      </c>
      <c r="B5" s="92" t="str">
        <f>IF(AND(B2="y",B3="y",B4="y"),"Yes","No")</f>
        <v>No</v>
      </c>
    </row>
    <row r="6" spans="1:2" x14ac:dyDescent="0.2">
      <c r="A6" t="s">
        <v>115</v>
      </c>
      <c r="B6" s="2" t="e">
        <f>(IF((Unearned_Income-STEP3&lt;0),0,Unearned_Income-STEP3))</f>
        <v>#N/A</v>
      </c>
    </row>
    <row r="7" spans="1:2" x14ac:dyDescent="0.2">
      <c r="A7" t="s">
        <v>114</v>
      </c>
      <c r="B7" s="4" t="e">
        <f>B6/2</f>
        <v>#N/A</v>
      </c>
    </row>
    <row r="8" spans="1:2" x14ac:dyDescent="0.2">
      <c r="A8" s="93" t="s">
        <v>176</v>
      </c>
      <c r="B8" t="str">
        <f>IF((Worksheet!B76&gt;=459),"yes","no")</f>
        <v>no</v>
      </c>
    </row>
    <row r="9" spans="1:2" x14ac:dyDescent="0.2">
      <c r="A9" t="s">
        <v>124</v>
      </c>
      <c r="B9" s="2">
        <f>IF(B8="yes",450,220)</f>
        <v>220</v>
      </c>
    </row>
    <row r="10" spans="1:2" x14ac:dyDescent="0.2">
      <c r="A10" t="s">
        <v>119</v>
      </c>
      <c r="B10" s="2">
        <v>608</v>
      </c>
    </row>
    <row r="11" spans="1:2" x14ac:dyDescent="0.2">
      <c r="A11" t="s">
        <v>120</v>
      </c>
      <c r="B11" s="2">
        <f>SUM(B9:B10)</f>
        <v>828</v>
      </c>
    </row>
    <row r="12" spans="1:2" x14ac:dyDescent="0.2">
      <c r="A12" t="s">
        <v>121</v>
      </c>
      <c r="B12" s="2" t="e">
        <f>B11-B7</f>
        <v>#N/A</v>
      </c>
    </row>
    <row r="13" spans="1:2" x14ac:dyDescent="0.2">
      <c r="A13" t="s">
        <v>122</v>
      </c>
      <c r="B13" s="2" t="e">
        <f>B6-B12</f>
        <v>#N/A</v>
      </c>
    </row>
    <row r="14" spans="1:2" s="91" customFormat="1" ht="25.5" customHeight="1" x14ac:dyDescent="0.2">
      <c r="A14" s="96" t="s">
        <v>123</v>
      </c>
      <c r="B14" s="94" t="e">
        <f>IF(B13&gt;0,B13*netincome_percent,0)</f>
        <v>#N/A</v>
      </c>
    </row>
    <row r="15" spans="1:2" ht="25.5" customHeight="1" x14ac:dyDescent="0.2">
      <c r="A15" t="s">
        <v>118</v>
      </c>
      <c r="B15" s="4">
        <f>Ref_Tables!B72</f>
        <v>189</v>
      </c>
    </row>
    <row r="16" spans="1:2" s="97" customFormat="1" ht="25.5" customHeight="1" thickBot="1" x14ac:dyDescent="0.3">
      <c r="A16" s="98" t="s">
        <v>117</v>
      </c>
      <c r="B16" s="143">
        <f>IF(B5="Yes",IF(B15-B14&gt;0,B15-B14,0),0)</f>
        <v>0</v>
      </c>
    </row>
    <row r="17" ht="13.5" thickTop="1" x14ac:dyDescent="0.2"/>
  </sheetData>
  <sheetProtection sheet="1" objects="1" scenarios="1"/>
  <phoneticPr fontId="2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F8" sqref="F8"/>
    </sheetView>
  </sheetViews>
  <sheetFormatPr defaultRowHeight="12.75" x14ac:dyDescent="0.2"/>
  <cols>
    <col min="1" max="1" width="51.85546875" style="45" bestFit="1" customWidth="1"/>
    <col min="2" max="2" width="16.85546875" style="55" customWidth="1"/>
    <col min="3" max="3" width="14" style="45" customWidth="1"/>
    <col min="4" max="16384" width="9.140625" style="45"/>
  </cols>
  <sheetData>
    <row r="1" spans="1:3" ht="14.25" thickTop="1" thickBot="1" x14ac:dyDescent="0.25">
      <c r="A1" s="265" t="s">
        <v>86</v>
      </c>
      <c r="B1" s="266"/>
      <c r="C1" s="267"/>
    </row>
    <row r="2" spans="1:3" ht="13.5" thickTop="1" x14ac:dyDescent="0.2"/>
    <row r="3" spans="1:3" x14ac:dyDescent="0.2">
      <c r="A3" s="272" t="str">
        <f>IF(Advocate="", "", CONCATENATE("Prepared by: ", Advocate))</f>
        <v/>
      </c>
      <c r="B3" s="272"/>
      <c r="C3" s="272"/>
    </row>
    <row r="4" spans="1:3" x14ac:dyDescent="0.2">
      <c r="A4" s="272" t="str">
        <f>IF(client_name="", "", CONCATENATE("Client: ", client_name))</f>
        <v/>
      </c>
      <c r="B4" s="272"/>
      <c r="C4" s="272"/>
    </row>
    <row r="5" spans="1:3" ht="38.25" customHeight="1" x14ac:dyDescent="0.2">
      <c r="A5" s="271" t="str">
        <f>IF(client_notes="", "", client_notes)</f>
        <v/>
      </c>
      <c r="B5" s="271"/>
      <c r="C5" s="271"/>
    </row>
    <row r="6" spans="1:3" x14ac:dyDescent="0.2">
      <c r="A6" s="52" t="s">
        <v>84</v>
      </c>
      <c r="B6" s="53">
        <f ca="1">TODAY()</f>
        <v>41674</v>
      </c>
      <c r="C6" s="54">
        <f ca="1">NOW()</f>
        <v>41674.4553443287</v>
      </c>
    </row>
    <row r="7" spans="1:3" ht="22.5" customHeight="1" x14ac:dyDescent="0.2">
      <c r="A7" s="264" t="s">
        <v>194</v>
      </c>
      <c r="B7" s="264"/>
      <c r="C7" s="264"/>
    </row>
    <row r="8" spans="1:3" ht="17.25" customHeight="1" x14ac:dyDescent="0.2">
      <c r="A8" s="46" t="s">
        <v>92</v>
      </c>
      <c r="B8" s="51">
        <f>HH_SIZE</f>
        <v>0</v>
      </c>
      <c r="C8" s="46"/>
    </row>
    <row r="9" spans="1:3" ht="17.25" customHeight="1" x14ac:dyDescent="0.2">
      <c r="A9" s="46"/>
      <c r="B9" s="51"/>
      <c r="C9" s="46"/>
    </row>
    <row r="10" spans="1:3" x14ac:dyDescent="0.2">
      <c r="A10" s="46" t="s">
        <v>169</v>
      </c>
      <c r="B10" s="47" t="e">
        <f>Worksheet!B35</f>
        <v>#N/A</v>
      </c>
      <c r="C10" s="270" t="s">
        <v>91</v>
      </c>
    </row>
    <row r="11" spans="1:3" x14ac:dyDescent="0.2">
      <c r="A11" s="46" t="s">
        <v>170</v>
      </c>
      <c r="B11" s="47" t="e">
        <f>Worksheet!B36</f>
        <v>#N/A</v>
      </c>
      <c r="C11" s="270"/>
    </row>
    <row r="12" spans="1:3" x14ac:dyDescent="0.2">
      <c r="A12" s="46" t="s">
        <v>171</v>
      </c>
      <c r="B12" s="47" t="str">
        <f>Worksheet!B37</f>
        <v>no</v>
      </c>
      <c r="C12" s="270"/>
    </row>
    <row r="13" spans="1:3" x14ac:dyDescent="0.2">
      <c r="A13" s="46" t="s">
        <v>88</v>
      </c>
      <c r="B13" s="47" t="e">
        <f>Worksheet!B105</f>
        <v>#N/A</v>
      </c>
      <c r="C13" s="270"/>
    </row>
    <row r="14" spans="1:3" x14ac:dyDescent="0.2">
      <c r="A14" s="46" t="s">
        <v>89</v>
      </c>
      <c r="B14" s="47">
        <f>Unearned_Income</f>
        <v>0</v>
      </c>
      <c r="C14" s="270"/>
    </row>
    <row r="15" spans="1:3" x14ac:dyDescent="0.2">
      <c r="A15" s="46" t="s">
        <v>90</v>
      </c>
      <c r="B15" s="47">
        <f>Earned_Income</f>
        <v>0</v>
      </c>
      <c r="C15" s="270"/>
    </row>
    <row r="16" spans="1:3" x14ac:dyDescent="0.2">
      <c r="A16" s="46"/>
      <c r="B16" s="48"/>
      <c r="C16" s="46"/>
    </row>
    <row r="17" spans="1:3" x14ac:dyDescent="0.2">
      <c r="A17" s="46" t="s">
        <v>79</v>
      </c>
      <c r="B17" s="47">
        <f>SUM(B14:B15)</f>
        <v>0</v>
      </c>
      <c r="C17" s="47">
        <f>B17</f>
        <v>0</v>
      </c>
    </row>
    <row r="18" spans="1:3" x14ac:dyDescent="0.2">
      <c r="A18" s="46"/>
      <c r="B18" s="47"/>
      <c r="C18" s="47"/>
    </row>
    <row r="19" spans="1:3" x14ac:dyDescent="0.2">
      <c r="A19" s="49" t="s">
        <v>173</v>
      </c>
      <c r="B19" s="47"/>
      <c r="C19" s="47"/>
    </row>
    <row r="20" spans="1:3" x14ac:dyDescent="0.2">
      <c r="A20" s="50" t="s">
        <v>174</v>
      </c>
      <c r="B20" s="47">
        <f>Worksheet!B76</f>
        <v>0</v>
      </c>
      <c r="C20" s="47"/>
    </row>
    <row r="21" spans="1:3" x14ac:dyDescent="0.2">
      <c r="A21" s="50" t="s">
        <v>175</v>
      </c>
      <c r="B21" s="47">
        <f>Worksheet!B83</f>
        <v>0</v>
      </c>
      <c r="C21" s="47"/>
    </row>
    <row r="22" spans="1:3" x14ac:dyDescent="0.2">
      <c r="A22" s="50"/>
      <c r="B22" s="47"/>
      <c r="C22" s="47"/>
    </row>
    <row r="23" spans="1:3" x14ac:dyDescent="0.2">
      <c r="A23" s="49" t="s">
        <v>80</v>
      </c>
      <c r="B23" s="47"/>
      <c r="C23" s="46"/>
    </row>
    <row r="24" spans="1:3" x14ac:dyDescent="0.2">
      <c r="A24" s="50" t="s">
        <v>98</v>
      </c>
      <c r="B24" s="47" t="e">
        <f>STEP3</f>
        <v>#N/A</v>
      </c>
      <c r="C24" s="46"/>
    </row>
    <row r="25" spans="1:3" x14ac:dyDescent="0.2">
      <c r="A25" s="50" t="s">
        <v>72</v>
      </c>
      <c r="B25" s="47" t="e">
        <f>STEP7</f>
        <v>#N/A</v>
      </c>
      <c r="C25" s="46" t="s">
        <v>87</v>
      </c>
    </row>
    <row r="26" spans="1:3" x14ac:dyDescent="0.2">
      <c r="A26" s="50" t="s">
        <v>71</v>
      </c>
      <c r="B26" s="47" t="str">
        <f>STEP9</f>
        <v>$0.0</v>
      </c>
      <c r="C26" s="46"/>
    </row>
    <row r="27" spans="1:3" x14ac:dyDescent="0.2">
      <c r="A27" s="50" t="s">
        <v>99</v>
      </c>
      <c r="B27" s="47">
        <f>STEP4</f>
        <v>0</v>
      </c>
      <c r="C27" s="46"/>
    </row>
    <row r="28" spans="1:3" x14ac:dyDescent="0.2">
      <c r="A28" s="50" t="s">
        <v>81</v>
      </c>
      <c r="B28" s="47">
        <f>STEP6</f>
        <v>0</v>
      </c>
      <c r="C28" s="46"/>
    </row>
    <row r="29" spans="1:3" x14ac:dyDescent="0.2">
      <c r="A29" s="50" t="s">
        <v>100</v>
      </c>
      <c r="B29" s="47">
        <f>STEP5</f>
        <v>0</v>
      </c>
      <c r="C29" s="46"/>
    </row>
    <row r="30" spans="1:3" x14ac:dyDescent="0.2">
      <c r="A30" s="50" t="s">
        <v>102</v>
      </c>
      <c r="B30" s="47">
        <f>STEP8</f>
        <v>0</v>
      </c>
      <c r="C30" s="46"/>
    </row>
    <row r="31" spans="1:3" x14ac:dyDescent="0.2">
      <c r="A31" s="46"/>
      <c r="B31" s="48"/>
      <c r="C31" s="46"/>
    </row>
    <row r="32" spans="1:3" x14ac:dyDescent="0.2">
      <c r="A32" s="49" t="s">
        <v>82</v>
      </c>
      <c r="B32" s="47" t="e">
        <f>SUM(B24:B30)</f>
        <v>#N/A</v>
      </c>
      <c r="C32" s="47" t="e">
        <f>-B32</f>
        <v>#N/A</v>
      </c>
    </row>
    <row r="33" spans="1:3" x14ac:dyDescent="0.2">
      <c r="A33" s="46"/>
      <c r="B33" s="47"/>
      <c r="C33" s="46"/>
    </row>
    <row r="34" spans="1:3" x14ac:dyDescent="0.2">
      <c r="A34" s="46" t="s">
        <v>83</v>
      </c>
      <c r="B34" s="47"/>
      <c r="C34" s="46"/>
    </row>
    <row r="35" spans="1:3" ht="17.25" customHeight="1" x14ac:dyDescent="0.2">
      <c r="A35" s="81" t="s">
        <v>101</v>
      </c>
      <c r="B35" s="47" t="e">
        <f>STEP10</f>
        <v>#N/A</v>
      </c>
      <c r="C35" s="46"/>
    </row>
    <row r="36" spans="1:3" x14ac:dyDescent="0.2">
      <c r="A36" s="46"/>
      <c r="B36" s="47"/>
      <c r="C36" s="46"/>
    </row>
    <row r="37" spans="1:3" ht="25.5" customHeight="1" x14ac:dyDescent="0.2">
      <c r="A37" s="82" t="s">
        <v>192</v>
      </c>
      <c r="B37" s="83" t="e">
        <f>Worksheet!B115</f>
        <v>#N/A</v>
      </c>
      <c r="C37" s="46"/>
    </row>
    <row r="38" spans="1:3" ht="17.25" customHeight="1" thickBot="1" x14ac:dyDescent="0.25">
      <c r="A38" s="49" t="s">
        <v>93</v>
      </c>
      <c r="B38" s="83" t="e">
        <f>Worksheet!B116</f>
        <v>#N/A</v>
      </c>
      <c r="C38" s="46"/>
    </row>
    <row r="39" spans="1:3" ht="17.25" customHeight="1" thickTop="1" thickBot="1" x14ac:dyDescent="0.25">
      <c r="A39" s="46" t="s">
        <v>193</v>
      </c>
      <c r="B39" s="84" t="e">
        <f>Worksheet!B118</f>
        <v>#N/A</v>
      </c>
      <c r="C39" s="46"/>
    </row>
    <row r="40" spans="1:3" ht="56.25" customHeight="1" thickTop="1" x14ac:dyDescent="0.2">
      <c r="A40" s="269" t="s">
        <v>190</v>
      </c>
      <c r="B40" s="269"/>
      <c r="C40" s="269"/>
    </row>
    <row r="41" spans="1:3" ht="50.25" customHeight="1" x14ac:dyDescent="0.2">
      <c r="A41" s="268" t="s">
        <v>191</v>
      </c>
      <c r="B41" s="268"/>
      <c r="C41" s="268"/>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workbookViewId="0">
      <selection activeCell="C28" sqref="C28"/>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6" t="s">
        <v>63</v>
      </c>
      <c r="B1" s="277"/>
      <c r="C1" s="277"/>
    </row>
    <row r="2" spans="1:3" s="26" customFormat="1" ht="13.5" thickTop="1" x14ac:dyDescent="0.2">
      <c r="A2" s="123"/>
      <c r="B2" s="124"/>
    </row>
    <row r="3" spans="1:3" ht="13.5" thickBot="1" x14ac:dyDescent="0.25">
      <c r="A3" s="274" t="s">
        <v>35</v>
      </c>
      <c r="B3" s="275"/>
      <c r="C3" s="275"/>
    </row>
    <row r="4" spans="1:3" x14ac:dyDescent="0.2">
      <c r="A4" s="116" t="s">
        <v>15</v>
      </c>
      <c r="B4" s="19">
        <v>3250</v>
      </c>
      <c r="C4" s="14"/>
    </row>
    <row r="5" spans="1:3" x14ac:dyDescent="0.2">
      <c r="A5" s="116" t="s">
        <v>20</v>
      </c>
      <c r="B5" s="19">
        <v>0</v>
      </c>
      <c r="C5" s="14"/>
    </row>
    <row r="6" spans="1:3" x14ac:dyDescent="0.2">
      <c r="A6" s="116" t="s">
        <v>16</v>
      </c>
      <c r="B6" s="19">
        <v>2000</v>
      </c>
      <c r="C6" s="14"/>
    </row>
    <row r="7" spans="1:3" x14ac:dyDescent="0.2">
      <c r="A7" s="116"/>
      <c r="B7" s="19"/>
      <c r="C7" s="14"/>
    </row>
    <row r="8" spans="1:3" ht="13.5" thickBot="1" x14ac:dyDescent="0.25">
      <c r="A8" s="274" t="s">
        <v>189</v>
      </c>
      <c r="B8" s="275"/>
      <c r="C8" s="275"/>
    </row>
    <row r="9" spans="1:3" s="1" customFormat="1" ht="13.5" thickBot="1" x14ac:dyDescent="0.25">
      <c r="A9" s="117" t="s">
        <v>70</v>
      </c>
      <c r="B9" s="118" t="s">
        <v>10</v>
      </c>
      <c r="C9" s="119"/>
    </row>
    <row r="10" spans="1:3" x14ac:dyDescent="0.2">
      <c r="A10" s="120">
        <v>1</v>
      </c>
      <c r="B10" s="121">
        <v>1245</v>
      </c>
      <c r="C10" s="14"/>
    </row>
    <row r="11" spans="1:3" x14ac:dyDescent="0.2">
      <c r="A11" s="120">
        <v>2</v>
      </c>
      <c r="B11" s="121">
        <v>1681</v>
      </c>
      <c r="C11" s="14"/>
    </row>
    <row r="12" spans="1:3" x14ac:dyDescent="0.2">
      <c r="A12" s="120">
        <v>3</v>
      </c>
      <c r="B12" s="121">
        <v>2116</v>
      </c>
      <c r="C12" s="14"/>
    </row>
    <row r="13" spans="1:3" x14ac:dyDescent="0.2">
      <c r="A13" s="120">
        <v>4</v>
      </c>
      <c r="B13" s="121">
        <v>2552</v>
      </c>
      <c r="C13" s="14"/>
    </row>
    <row r="14" spans="1:3" x14ac:dyDescent="0.2">
      <c r="A14" s="105">
        <v>5</v>
      </c>
      <c r="B14" s="121">
        <v>2987</v>
      </c>
      <c r="C14" s="14"/>
    </row>
    <row r="15" spans="1:3" x14ac:dyDescent="0.2">
      <c r="A15" s="105">
        <v>6</v>
      </c>
      <c r="B15" s="121">
        <v>3423</v>
      </c>
      <c r="C15" s="14"/>
    </row>
    <row r="16" spans="1:3" x14ac:dyDescent="0.2">
      <c r="A16" s="105">
        <v>7</v>
      </c>
      <c r="B16" s="121">
        <v>3858</v>
      </c>
      <c r="C16" s="14"/>
    </row>
    <row r="17" spans="1:3" x14ac:dyDescent="0.2">
      <c r="A17" s="105">
        <v>8</v>
      </c>
      <c r="B17" s="121">
        <v>4294</v>
      </c>
      <c r="C17" s="14"/>
    </row>
    <row r="18" spans="1:3" x14ac:dyDescent="0.2">
      <c r="A18" s="122" t="s">
        <v>11</v>
      </c>
      <c r="B18" s="121">
        <v>436</v>
      </c>
      <c r="C18" s="14" t="s">
        <v>12</v>
      </c>
    </row>
    <row r="19" spans="1:3" x14ac:dyDescent="0.2">
      <c r="A19" s="3"/>
      <c r="B19" s="7"/>
    </row>
    <row r="20" spans="1:3" ht="13.5" thickBot="1" x14ac:dyDescent="0.25">
      <c r="A20" s="273" t="s">
        <v>188</v>
      </c>
      <c r="B20" s="278"/>
      <c r="C20" s="278"/>
    </row>
    <row r="21" spans="1:3" s="1" customFormat="1" ht="13.5" thickBot="1" x14ac:dyDescent="0.25">
      <c r="A21" s="12" t="s">
        <v>70</v>
      </c>
      <c r="B21" s="13" t="s">
        <v>69</v>
      </c>
      <c r="C21" s="13"/>
    </row>
    <row r="22" spans="1:3" x14ac:dyDescent="0.2">
      <c r="A22" s="9">
        <v>1</v>
      </c>
      <c r="B22" s="7">
        <v>1945</v>
      </c>
      <c r="C22" s="4"/>
    </row>
    <row r="23" spans="1:3" x14ac:dyDescent="0.2">
      <c r="A23" s="9">
        <v>2</v>
      </c>
      <c r="B23" s="7">
        <v>2622</v>
      </c>
    </row>
    <row r="24" spans="1:3" x14ac:dyDescent="0.2">
      <c r="A24" s="9">
        <v>3</v>
      </c>
      <c r="B24" s="7">
        <v>3298</v>
      </c>
    </row>
    <row r="25" spans="1:3" x14ac:dyDescent="0.2">
      <c r="A25" s="9">
        <v>4</v>
      </c>
      <c r="B25" s="7">
        <v>3975</v>
      </c>
    </row>
    <row r="26" spans="1:3" x14ac:dyDescent="0.2">
      <c r="A26" s="8">
        <v>5</v>
      </c>
      <c r="B26" s="7">
        <v>4652</v>
      </c>
    </row>
    <row r="27" spans="1:3" x14ac:dyDescent="0.2">
      <c r="A27" s="8">
        <v>6</v>
      </c>
      <c r="B27" s="7">
        <v>5328</v>
      </c>
    </row>
    <row r="28" spans="1:3" x14ac:dyDescent="0.2">
      <c r="A28" s="8">
        <v>7</v>
      </c>
      <c r="B28" s="7">
        <v>6005</v>
      </c>
    </row>
    <row r="29" spans="1:3" x14ac:dyDescent="0.2">
      <c r="A29" s="8">
        <v>8</v>
      </c>
      <c r="B29" s="7">
        <v>6682</v>
      </c>
    </row>
    <row r="30" spans="1:3" x14ac:dyDescent="0.2">
      <c r="A30" s="3" t="s">
        <v>11</v>
      </c>
      <c r="B30" s="7">
        <v>677</v>
      </c>
      <c r="C30" t="s">
        <v>12</v>
      </c>
    </row>
    <row r="32" spans="1:3" ht="13.5" thickBot="1" x14ac:dyDescent="0.25">
      <c r="A32" s="273" t="s">
        <v>25</v>
      </c>
      <c r="B32" s="273"/>
      <c r="C32" s="273"/>
    </row>
    <row r="33" spans="1:3" ht="13.5" thickBot="1" x14ac:dyDescent="0.25">
      <c r="A33" s="12" t="s">
        <v>70</v>
      </c>
      <c r="B33" s="13" t="s">
        <v>13</v>
      </c>
      <c r="C33" s="114"/>
    </row>
    <row r="34" spans="1:3" x14ac:dyDescent="0.2">
      <c r="A34" s="9">
        <v>1</v>
      </c>
      <c r="B34" s="7">
        <v>152</v>
      </c>
    </row>
    <row r="35" spans="1:3" x14ac:dyDescent="0.2">
      <c r="A35" s="9">
        <v>2</v>
      </c>
      <c r="B35" s="7">
        <v>152</v>
      </c>
    </row>
    <row r="36" spans="1:3" x14ac:dyDescent="0.2">
      <c r="A36" s="9">
        <v>3</v>
      </c>
      <c r="B36" s="7">
        <v>152</v>
      </c>
    </row>
    <row r="37" spans="1:3" x14ac:dyDescent="0.2">
      <c r="A37" s="9">
        <v>4</v>
      </c>
      <c r="B37" s="7">
        <v>163</v>
      </c>
    </row>
    <row r="38" spans="1:3" x14ac:dyDescent="0.2">
      <c r="A38" s="8">
        <v>5</v>
      </c>
      <c r="B38" s="7">
        <v>191</v>
      </c>
    </row>
    <row r="39" spans="1:3" x14ac:dyDescent="0.2">
      <c r="A39" s="16" t="s">
        <v>24</v>
      </c>
      <c r="B39" s="7">
        <v>219</v>
      </c>
    </row>
    <row r="40" spans="1:3" x14ac:dyDescent="0.2">
      <c r="A40" s="8"/>
      <c r="B40" s="7"/>
    </row>
    <row r="41" spans="1:3" ht="13.5" thickBot="1" x14ac:dyDescent="0.25">
      <c r="A41" s="273" t="s">
        <v>28</v>
      </c>
      <c r="B41" s="278"/>
      <c r="C41" s="278"/>
    </row>
    <row r="42" spans="1:3" x14ac:dyDescent="0.2">
      <c r="A42" t="s">
        <v>27</v>
      </c>
      <c r="B42" s="17">
        <v>0.2</v>
      </c>
    </row>
    <row r="44" spans="1:3" ht="13.5" thickBot="1" x14ac:dyDescent="0.25">
      <c r="A44" s="273" t="s">
        <v>58</v>
      </c>
      <c r="B44" s="278"/>
      <c r="C44" s="278"/>
    </row>
    <row r="45" spans="1:3" x14ac:dyDescent="0.2">
      <c r="A45" t="s">
        <v>14</v>
      </c>
      <c r="B45" s="2">
        <v>35</v>
      </c>
    </row>
    <row r="47" spans="1:3" ht="13.5" thickBot="1" x14ac:dyDescent="0.25">
      <c r="A47" s="273" t="s">
        <v>95</v>
      </c>
      <c r="B47" s="273"/>
      <c r="C47" s="273"/>
    </row>
    <row r="48" spans="1:3" s="11" customFormat="1" x14ac:dyDescent="0.2">
      <c r="A48" s="11" t="s">
        <v>6</v>
      </c>
      <c r="B48" s="44">
        <v>608</v>
      </c>
      <c r="C48" s="44"/>
    </row>
    <row r="49" spans="1:3" s="11" customFormat="1" x14ac:dyDescent="0.2">
      <c r="A49" s="11" t="s">
        <v>7</v>
      </c>
      <c r="B49" s="44">
        <v>374</v>
      </c>
      <c r="C49" s="44"/>
    </row>
    <row r="50" spans="1:3" s="11" customFormat="1" x14ac:dyDescent="0.2">
      <c r="A50" s="11" t="s">
        <v>19</v>
      </c>
      <c r="B50" s="44">
        <v>0</v>
      </c>
      <c r="C50" s="44"/>
    </row>
    <row r="51" spans="1:3" s="11" customFormat="1" x14ac:dyDescent="0.2">
      <c r="A51" s="11" t="s">
        <v>78</v>
      </c>
      <c r="B51" s="44">
        <v>43</v>
      </c>
      <c r="C51" s="44"/>
    </row>
    <row r="52" spans="1:3" x14ac:dyDescent="0.2">
      <c r="B52" s="19"/>
    </row>
    <row r="53" spans="1:3" ht="13.5" thickBot="1" x14ac:dyDescent="0.25">
      <c r="A53" s="278" t="s">
        <v>17</v>
      </c>
      <c r="B53" s="278"/>
      <c r="C53" s="278"/>
    </row>
    <row r="54" spans="1:3" ht="12.75" customHeight="1" x14ac:dyDescent="0.2">
      <c r="A54" t="s">
        <v>150</v>
      </c>
      <c r="B54" s="2">
        <v>478</v>
      </c>
      <c r="C54" s="18" t="s">
        <v>22</v>
      </c>
    </row>
    <row r="55" spans="1:3" x14ac:dyDescent="0.2">
      <c r="A55" t="s">
        <v>18</v>
      </c>
      <c r="B55" s="2">
        <v>143</v>
      </c>
      <c r="C55" s="10" t="s">
        <v>96</v>
      </c>
    </row>
    <row r="56" spans="1:3" s="14" customFormat="1" x14ac:dyDescent="0.2">
      <c r="A56" s="14" t="s">
        <v>36</v>
      </c>
      <c r="B56" s="19"/>
      <c r="C56" s="14" t="s">
        <v>97</v>
      </c>
    </row>
    <row r="57" spans="1:3" s="14" customFormat="1" x14ac:dyDescent="0.2">
      <c r="B57" s="19"/>
    </row>
    <row r="58" spans="1:3" ht="13.5" thickBot="1" x14ac:dyDescent="0.25">
      <c r="A58" s="273" t="s">
        <v>23</v>
      </c>
      <c r="B58" s="278"/>
      <c r="C58" s="278"/>
    </row>
    <row r="59" spans="1:3" s="14" customFormat="1" x14ac:dyDescent="0.2">
      <c r="A59" s="14">
        <v>1</v>
      </c>
      <c r="B59" s="15">
        <v>958</v>
      </c>
    </row>
    <row r="60" spans="1:3" s="14" customFormat="1" x14ac:dyDescent="0.2">
      <c r="A60" s="14">
        <v>2</v>
      </c>
      <c r="B60" s="15">
        <v>1293</v>
      </c>
    </row>
    <row r="61" spans="1:3" x14ac:dyDescent="0.2">
      <c r="A61">
        <v>3</v>
      </c>
      <c r="B61" s="4">
        <v>1628</v>
      </c>
    </row>
    <row r="62" spans="1:3" x14ac:dyDescent="0.2">
      <c r="A62">
        <v>4</v>
      </c>
      <c r="B62" s="4">
        <v>1963</v>
      </c>
    </row>
    <row r="63" spans="1:3" x14ac:dyDescent="0.2">
      <c r="A63">
        <v>5</v>
      </c>
      <c r="B63" s="4">
        <v>2298</v>
      </c>
    </row>
    <row r="64" spans="1:3" x14ac:dyDescent="0.2">
      <c r="A64">
        <v>6</v>
      </c>
      <c r="B64" s="4">
        <v>2633</v>
      </c>
    </row>
    <row r="65" spans="1:3" x14ac:dyDescent="0.2">
      <c r="A65">
        <v>7</v>
      </c>
      <c r="B65" s="4">
        <v>2968</v>
      </c>
    </row>
    <row r="66" spans="1:3" x14ac:dyDescent="0.2">
      <c r="A66">
        <v>8</v>
      </c>
      <c r="B66" s="4">
        <v>3303</v>
      </c>
    </row>
    <row r="67" spans="1:3" x14ac:dyDescent="0.2">
      <c r="A67" s="3" t="s">
        <v>8</v>
      </c>
      <c r="B67" s="4">
        <v>335</v>
      </c>
      <c r="C67" s="279" t="s">
        <v>37</v>
      </c>
    </row>
    <row r="68" spans="1:3" x14ac:dyDescent="0.2">
      <c r="C68" s="279"/>
    </row>
    <row r="69" spans="1:3" x14ac:dyDescent="0.2">
      <c r="C69" s="279"/>
    </row>
    <row r="70" spans="1:3" x14ac:dyDescent="0.2">
      <c r="C70" s="10"/>
    </row>
    <row r="71" spans="1:3" ht="13.5" thickBot="1" x14ac:dyDescent="0.25">
      <c r="A71" s="273" t="s">
        <v>57</v>
      </c>
      <c r="B71" s="278"/>
      <c r="C71" s="278"/>
    </row>
    <row r="72" spans="1:3" x14ac:dyDescent="0.2">
      <c r="A72" s="6">
        <v>1</v>
      </c>
      <c r="B72" s="5">
        <v>189</v>
      </c>
      <c r="C72" s="20"/>
    </row>
    <row r="73" spans="1:3" x14ac:dyDescent="0.2">
      <c r="A73" s="6">
        <v>2</v>
      </c>
      <c r="B73" s="5">
        <v>347</v>
      </c>
    </row>
    <row r="74" spans="1:3" x14ac:dyDescent="0.2">
      <c r="A74" s="6">
        <v>3</v>
      </c>
      <c r="B74" s="5">
        <v>497</v>
      </c>
    </row>
    <row r="75" spans="1:3" x14ac:dyDescent="0.2">
      <c r="A75" s="6">
        <v>4</v>
      </c>
      <c r="B75" s="5">
        <v>632</v>
      </c>
    </row>
    <row r="76" spans="1:3" x14ac:dyDescent="0.2">
      <c r="A76" s="6">
        <v>5</v>
      </c>
      <c r="B76" s="5">
        <v>750</v>
      </c>
    </row>
    <row r="77" spans="1:3" x14ac:dyDescent="0.2">
      <c r="A77" s="6">
        <v>6</v>
      </c>
      <c r="B77" s="5">
        <v>900</v>
      </c>
    </row>
    <row r="78" spans="1:3" x14ac:dyDescent="0.2">
      <c r="A78" s="6">
        <v>7</v>
      </c>
      <c r="B78" s="5">
        <v>995</v>
      </c>
    </row>
    <row r="79" spans="1:3" x14ac:dyDescent="0.2">
      <c r="A79" s="6">
        <v>8</v>
      </c>
      <c r="B79" s="5">
        <v>1137</v>
      </c>
    </row>
    <row r="80" spans="1:3" x14ac:dyDescent="0.2">
      <c r="A80" s="3" t="s">
        <v>8</v>
      </c>
      <c r="B80" s="5">
        <v>142</v>
      </c>
    </row>
    <row r="82" spans="1:3" s="111" customFormat="1" ht="13.5" thickBot="1" x14ac:dyDescent="0.25">
      <c r="A82" s="112" t="s">
        <v>103</v>
      </c>
      <c r="B82" s="113"/>
      <c r="C82" s="113"/>
    </row>
    <row r="83" spans="1:3" x14ac:dyDescent="0.2">
      <c r="B83" s="78">
        <v>0.3</v>
      </c>
    </row>
    <row r="85" spans="1:3" s="111" customFormat="1" ht="13.5" thickBot="1" x14ac:dyDescent="0.25">
      <c r="A85" s="112" t="s">
        <v>107</v>
      </c>
      <c r="B85" s="113"/>
      <c r="C85" s="113"/>
    </row>
    <row r="86" spans="1:3" x14ac:dyDescent="0.2">
      <c r="A86" t="s">
        <v>104</v>
      </c>
      <c r="B86" s="90">
        <v>2</v>
      </c>
      <c r="C86" t="s">
        <v>105</v>
      </c>
    </row>
    <row r="87" spans="1:3" x14ac:dyDescent="0.2">
      <c r="A87" t="s">
        <v>106</v>
      </c>
      <c r="B87" s="2">
        <v>15</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46</vt:i4>
      </vt:variant>
    </vt:vector>
  </HeadingPairs>
  <TitlesOfParts>
    <vt:vector size="50" baseType="lpstr">
      <vt:lpstr>Worksheet</vt:lpstr>
      <vt:lpstr>Bay State CAP</vt:lpstr>
      <vt:lpstr>Printable</vt:lpstr>
      <vt:lpstr>Ref_Tables</vt:lpstr>
      <vt:lpstr>_C100000</vt:lpstr>
      <vt:lpstr>_C70003</vt:lpstr>
      <vt:lpstr>_C75000</vt:lpstr>
      <vt:lpstr>Advocate</vt:lpstr>
      <vt:lpstr>AssetAllowEldDis</vt:lpstr>
      <vt:lpstr>AssetAllowReg</vt:lpstr>
      <vt:lpstr>Cat_Eligible</vt:lpstr>
      <vt:lpstr>cat_income_max_over8</vt:lpstr>
      <vt:lpstr>client_name</vt:lpstr>
      <vt:lpstr>client_notes</vt:lpstr>
      <vt:lpstr>Earned_Income</vt:lpstr>
      <vt:lpstr>earned_income_deduction</vt:lpstr>
      <vt:lpstr>Elderly_Disabled</vt:lpstr>
      <vt:lpstr>HH_SIZE</vt:lpstr>
      <vt:lpstr>homeless_deduct</vt:lpstr>
      <vt:lpstr>Household_child</vt:lpstr>
      <vt:lpstr>Household_Pregnant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2014-02-04T15:56:01Z</dcterms:modified>
</cp:coreProperties>
</file>